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614D1449-1F33-404E-8E34-9688A2107FBE}" xr6:coauthVersionLast="47" xr6:coauthVersionMax="47" xr10:uidLastSave="{00000000-0000-0000-0000-000000000000}"/>
  <bookViews>
    <workbookView xWindow="-120" yWindow="-120" windowWidth="19440" windowHeight="11520" xr2:uid="{F9985CAE-AF9D-4A91-AD0F-9D9B27664753}"/>
  </bookViews>
  <sheets>
    <sheet name="E.C.F. Analysis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" i="2" l="1"/>
  <c r="P10" i="2" s="1"/>
  <c r="I10" i="2"/>
  <c r="O20" i="2"/>
  <c r="M20" i="2"/>
  <c r="I7" i="2"/>
  <c r="L7" i="2"/>
  <c r="N7" i="2" s="1"/>
  <c r="I14" i="2"/>
  <c r="L14" i="2"/>
  <c r="N14" i="2" s="1"/>
  <c r="I6" i="2"/>
  <c r="L6" i="2"/>
  <c r="P6" i="2" s="1"/>
  <c r="I9" i="2"/>
  <c r="L9" i="2"/>
  <c r="N9" i="2" s="1"/>
  <c r="I12" i="2"/>
  <c r="L12" i="2"/>
  <c r="N12" i="2" s="1"/>
  <c r="I13" i="2"/>
  <c r="L13" i="2"/>
  <c r="N13" i="2" s="1"/>
  <c r="I5" i="2"/>
  <c r="L5" i="2"/>
  <c r="N5" i="2" s="1"/>
  <c r="I11" i="2"/>
  <c r="L11" i="2"/>
  <c r="P11" i="2" s="1"/>
  <c r="I8" i="2"/>
  <c r="L8" i="2"/>
  <c r="N8" i="2" s="1"/>
  <c r="I4" i="2"/>
  <c r="L4" i="2"/>
  <c r="P4" i="2" s="1"/>
  <c r="D15" i="2"/>
  <c r="G15" i="2"/>
  <c r="H15" i="2"/>
  <c r="J15" i="2"/>
  <c r="M15" i="2"/>
  <c r="N10" i="2" l="1"/>
  <c r="N11" i="2"/>
  <c r="N4" i="2"/>
  <c r="P13" i="2"/>
  <c r="P14" i="2"/>
  <c r="P9" i="2"/>
  <c r="N6" i="2"/>
  <c r="P8" i="2"/>
  <c r="I16" i="2"/>
  <c r="I17" i="2"/>
  <c r="P12" i="2"/>
  <c r="P7" i="2"/>
  <c r="L15" i="2"/>
  <c r="N16" i="2" s="1"/>
  <c r="M21" i="2" s="1"/>
  <c r="P5" i="2"/>
  <c r="Q16" i="2" l="1"/>
  <c r="N17" i="2"/>
  <c r="P15" i="2"/>
  <c r="R4" i="2" l="1"/>
  <c r="R9" i="2"/>
  <c r="R10" i="2"/>
  <c r="R13" i="2"/>
  <c r="R5" i="2"/>
  <c r="R6" i="2"/>
  <c r="R7" i="2"/>
  <c r="R8" i="2"/>
  <c r="R11" i="2"/>
  <c r="R12" i="2"/>
  <c r="R14" i="2"/>
  <c r="R15" i="2"/>
  <c r="Q17" i="2" l="1"/>
  <c r="S17" i="2" s="1"/>
</calcChain>
</file>

<file path=xl/sharedStrings.xml><?xml version="1.0" encoding="utf-8"?>
<sst xmlns="http://schemas.openxmlformats.org/spreadsheetml/2006/main" count="141" uniqueCount="85">
  <si>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</si>
  <si>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</si>
  <si>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</si>
  <si>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</si>
  <si>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</si>
  <si>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</si>
  <si>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</si>
  <si>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Asd. when Sold</t>
  </si>
  <si>
    <t>Asd/Adj. Sale</t>
  </si>
  <si>
    <t>Cur. Appraisal</t>
  </si>
  <si>
    <t>Land + Yard</t>
  </si>
  <si>
    <t>Bldg. Residual</t>
  </si>
  <si>
    <t>Cost Man. $</t>
  </si>
  <si>
    <t>E.C.F.</t>
  </si>
  <si>
    <t>Floor Area</t>
  </si>
  <si>
    <t>$/Sq.Ft.</t>
  </si>
  <si>
    <t>ECF Area</t>
  </si>
  <si>
    <t>Dev. by Mean (%)</t>
  </si>
  <si>
    <t>Building Style</t>
  </si>
  <si>
    <t>Use Code</t>
  </si>
  <si>
    <t>Land Value</t>
  </si>
  <si>
    <t>Appr. by Eq.</t>
  </si>
  <si>
    <t>Appr. Date</t>
  </si>
  <si>
    <t>Other Parcels in Sale</t>
  </si>
  <si>
    <t>Land Table</t>
  </si>
  <si>
    <t>Property Class</t>
  </si>
  <si>
    <t>Building Depr.</t>
  </si>
  <si>
    <t>05-10-6-15-3003-000</t>
  </si>
  <si>
    <t>10665 S DEHMEL</t>
  </si>
  <si>
    <t>WD</t>
  </si>
  <si>
    <t>19-MULTI PARCEL ARM'S LENGTH</t>
  </si>
  <si>
    <t>A1233</t>
  </si>
  <si>
    <t>1.5 STORY</t>
  </si>
  <si>
    <t>Yes</t>
  </si>
  <si>
    <t xml:space="preserve">  /  /    </t>
  </si>
  <si>
    <t>05-10-6-15-3001-000, 05-10-6-15-3002-000, 05-10-6-21-1002-000, 05-10-6-15-2004-000</t>
  </si>
  <si>
    <t>AG AVERAGE FARMLAND</t>
  </si>
  <si>
    <t>03-ARM'S LENGTH</t>
  </si>
  <si>
    <t>AG BELOW AVERAGE FARMLAND</t>
  </si>
  <si>
    <t>08-10-2-16-4001-001</t>
  </si>
  <si>
    <t>10510 S HEMLOCK</t>
  </si>
  <si>
    <t>08-10-2-22-3001-000</t>
  </si>
  <si>
    <t>15000 MARION</t>
  </si>
  <si>
    <t>08-10-2-35-4002-003</t>
  </si>
  <si>
    <t>14456 GARY</t>
  </si>
  <si>
    <t>31-SPLIT IMPROVED</t>
  </si>
  <si>
    <t>12-09-1-12-4001-001</t>
  </si>
  <si>
    <t>19158 W BRADY</t>
  </si>
  <si>
    <t>AG POOR FARMLAND</t>
  </si>
  <si>
    <t>12-09-1-16-2003-000</t>
  </si>
  <si>
    <t>22000 WICKIE</t>
  </si>
  <si>
    <t>13-09-3-05-4003-000</t>
  </si>
  <si>
    <t>11401 HARRIS</t>
  </si>
  <si>
    <t>1 1/2 STORY</t>
  </si>
  <si>
    <t>16-11-4-05-4004-000</t>
  </si>
  <si>
    <t>5490 SWAN CREEK</t>
  </si>
  <si>
    <t>1 STORY</t>
  </si>
  <si>
    <t>19-11-1-10-2008-000</t>
  </si>
  <si>
    <t>21845 SWAN CREEK</t>
  </si>
  <si>
    <t>No</t>
  </si>
  <si>
    <t>21-10-1-36-2001-000</t>
  </si>
  <si>
    <t>19825 W BURT</t>
  </si>
  <si>
    <t>RANCH</t>
  </si>
  <si>
    <t>Totals:</t>
  </si>
  <si>
    <t>Sale. Ratio =&gt;</t>
  </si>
  <si>
    <t>E.C.F. =&gt;</t>
  </si>
  <si>
    <t>Std. Deviation=&gt;</t>
  </si>
  <si>
    <t>Std. Dev. =&gt;</t>
  </si>
  <si>
    <t>Ave. E.C.F. =&gt;</t>
  </si>
  <si>
    <t>Ave. Variance=&gt;</t>
  </si>
  <si>
    <t>Coefficient of Var=&gt;</t>
  </si>
  <si>
    <t>ORIGINAL STATISTICS</t>
  </si>
  <si>
    <t>Range:</t>
  </si>
  <si>
    <t>Ave - 1.5 STD Dev</t>
  </si>
  <si>
    <t>to</t>
  </si>
  <si>
    <t>Ave + 1.5 STD Dev</t>
  </si>
  <si>
    <t>Calculation for outliers:</t>
  </si>
  <si>
    <t>Final ECF after outliers removed:</t>
  </si>
  <si>
    <t>07-09-2-15-2001-000</t>
  </si>
  <si>
    <t>15753 W BRADY</t>
  </si>
  <si>
    <t>07-09-2-15-1004-000, 07-09-2-09-4005-000</t>
  </si>
  <si>
    <t>2023 Spaulding Township Agricultural ECF Analysis</t>
  </si>
  <si>
    <t>Sales in the following units:  04-ALBEE, 05-BIRCH RUN,07-BRADY, 08-BRANT, 09-BRIDGEPORT,10-BUENA VISTA, 12-CHAPIN,13-CHESANING, 15-FREMONT, 16-JAMES, 19-LAKEFIELD,21-MARION, 23-SAGINAW TWP,24-ST CHARLES TWP, 25-SPAULDING, 27-TAYMOUTH,90-CITY OF SAGINAW</t>
  </si>
  <si>
    <t>ECF  = .924</t>
  </si>
  <si>
    <t>Calculated ECF is .924. Use .924 for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</si>
</sst>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3" formatCode="_(* #,##0.00_);_(* \(#,##0.00\);_(* &quot;-&quot;??_);_(@_)"/>
    <numFmt numFmtId="164" formatCode="#0.00_);[Red]\(#0.00\)"/>
    <numFmt numFmtId="165" formatCode="mm/dd/yy"/>
    <numFmt numFmtId="166" formatCode="#0.000_);[Red]\(#0.000\)"/>
    <numFmt numFmtId="167" formatCode="&quot;$&quot;#0.00_);[Red]\(&quot;$&quot;#0.00\)"/>
    <numFmt numFmtId="168" formatCode="#0.0000_);[Red]\(#0.0000\)"/>
    <numFmt numFmtId="169" formatCode="_(* #,##0.0000_);_(* \(#,##0.00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rgb="FFFF0000"/>
      <name val="Berlin Sans FB Demi"/>
      <family val="2"/>
    </font>
  </fonts>
  <fills count="6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4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3" borderId="1" xfId="0" applyFont="1" applyFill="1" applyBorder="1"/>
    <xf numFmtId="0" fontId="5" fillId="3" borderId="0" xfId="0" applyFont="1" applyFill="1"/>
    <xf numFmtId="0" fontId="5" fillId="3" borderId="2" xfId="0" applyFont="1" applyFill="1" applyBorder="1"/>
    <xf numFmtId="6" fontId="4" fillId="2" borderId="0" xfId="0" applyNumberFormat="1" applyFont="1" applyFill="1" applyAlignment="1">
      <alignment horizontal="center"/>
    </xf>
    <xf numFmtId="6" fontId="0" fillId="0" borderId="0" xfId="0" applyNumberFormat="1"/>
    <xf numFmtId="6" fontId="5" fillId="3" borderId="1" xfId="0" applyNumberFormat="1" applyFont="1" applyFill="1" applyBorder="1"/>
    <xf numFmtId="6" fontId="5" fillId="3" borderId="0" xfId="0" applyNumberFormat="1" applyFont="1" applyFill="1"/>
    <xf numFmtId="6" fontId="5" fillId="3" borderId="2" xfId="0" applyNumberFormat="1" applyFont="1" applyFill="1" applyBorder="1"/>
    <xf numFmtId="164" fontId="4" fillId="2" borderId="0" xfId="0" applyNumberFormat="1" applyFont="1" applyFill="1" applyAlignment="1">
      <alignment horizontal="center"/>
    </xf>
    <xf numFmtId="164" fontId="0" fillId="0" borderId="0" xfId="0" applyNumberFormat="1"/>
    <xf numFmtId="164" fontId="5" fillId="3" borderId="1" xfId="0" applyNumberFormat="1" applyFont="1" applyFill="1" applyBorder="1"/>
    <xf numFmtId="164" fontId="5" fillId="3" borderId="0" xfId="0" applyNumberFormat="1" applyFont="1" applyFill="1"/>
    <xf numFmtId="164" fontId="5" fillId="3" borderId="2" xfId="0" applyNumberFormat="1" applyFont="1" applyFill="1" applyBorder="1"/>
    <xf numFmtId="165" fontId="4" fillId="2" borderId="0" xfId="0" applyNumberFormat="1" applyFont="1" applyFill="1" applyAlignment="1">
      <alignment horizontal="center"/>
    </xf>
    <xf numFmtId="165" fontId="0" fillId="0" borderId="0" xfId="0" applyNumberFormat="1"/>
    <xf numFmtId="165" fontId="5" fillId="3" borderId="1" xfId="0" applyNumberFormat="1" applyFont="1" applyFill="1" applyBorder="1"/>
    <xf numFmtId="165" fontId="5" fillId="3" borderId="0" xfId="0" applyNumberFormat="1" applyFont="1" applyFill="1"/>
    <xf numFmtId="165" fontId="5" fillId="3" borderId="2" xfId="0" applyNumberFormat="1" applyFont="1" applyFill="1" applyBorder="1"/>
    <xf numFmtId="166" fontId="4" fillId="2" borderId="0" xfId="0" applyNumberFormat="1" applyFont="1" applyFill="1" applyAlignment="1">
      <alignment horizontal="center"/>
    </xf>
    <xf numFmtId="166" fontId="0" fillId="0" borderId="0" xfId="0" applyNumberFormat="1"/>
    <xf numFmtId="166" fontId="5" fillId="3" borderId="1" xfId="0" applyNumberFormat="1" applyFont="1" applyFill="1" applyBorder="1"/>
    <xf numFmtId="166" fontId="5" fillId="3" borderId="0" xfId="0" applyNumberFormat="1" applyFont="1" applyFill="1"/>
    <xf numFmtId="166" fontId="5" fillId="3" borderId="2" xfId="0" applyNumberFormat="1" applyFont="1" applyFill="1" applyBorder="1"/>
    <xf numFmtId="38" fontId="4" fillId="2" borderId="0" xfId="0" applyNumberFormat="1" applyFont="1" applyFill="1" applyAlignment="1">
      <alignment horizontal="center"/>
    </xf>
    <xf numFmtId="38" fontId="0" fillId="0" borderId="0" xfId="0" applyNumberFormat="1"/>
    <xf numFmtId="38" fontId="5" fillId="3" borderId="1" xfId="0" applyNumberFormat="1" applyFont="1" applyFill="1" applyBorder="1"/>
    <xf numFmtId="38" fontId="5" fillId="3" borderId="0" xfId="0" applyNumberFormat="1" applyFont="1" applyFill="1"/>
    <xf numFmtId="38" fontId="5" fillId="3" borderId="2" xfId="0" applyNumberFormat="1" applyFont="1" applyFill="1" applyBorder="1"/>
    <xf numFmtId="167" fontId="4" fillId="2" borderId="0" xfId="0" applyNumberFormat="1" applyFont="1" applyFill="1" applyAlignment="1">
      <alignment horizontal="center"/>
    </xf>
    <xf numFmtId="167" fontId="0" fillId="0" borderId="0" xfId="0" applyNumberFormat="1"/>
    <xf numFmtId="167" fontId="5" fillId="3" borderId="1" xfId="0" applyNumberFormat="1" applyFont="1" applyFill="1" applyBorder="1"/>
    <xf numFmtId="167" fontId="5" fillId="3" borderId="0" xfId="0" applyNumberFormat="1" applyFont="1" applyFill="1"/>
    <xf numFmtId="167" fontId="5" fillId="3" borderId="2" xfId="0" applyNumberFormat="1" applyFont="1" applyFill="1" applyBorder="1"/>
    <xf numFmtId="49" fontId="4" fillId="2" borderId="0" xfId="0" applyNumberFormat="1" applyFont="1" applyFill="1" applyAlignment="1">
      <alignment horizontal="right"/>
    </xf>
    <xf numFmtId="49" fontId="0" fillId="0" borderId="0" xfId="0" quotePrefix="1" applyNumberFormat="1" applyAlignment="1">
      <alignment horizontal="right"/>
    </xf>
    <xf numFmtId="49" fontId="5" fillId="3" borderId="1" xfId="0" applyNumberFormat="1" applyFont="1" applyFill="1" applyBorder="1" applyAlignment="1">
      <alignment horizontal="right"/>
    </xf>
    <xf numFmtId="49" fontId="5" fillId="3" borderId="0" xfId="0" applyNumberFormat="1" applyFont="1" applyFill="1" applyAlignment="1">
      <alignment horizontal="right"/>
    </xf>
    <xf numFmtId="49" fontId="0" fillId="0" borderId="0" xfId="0" applyNumberFormat="1" applyAlignment="1">
      <alignment horizontal="right"/>
    </xf>
    <xf numFmtId="168" fontId="4" fillId="2" borderId="0" xfId="0" applyNumberFormat="1" applyFont="1" applyFill="1" applyAlignment="1">
      <alignment horizontal="center"/>
    </xf>
    <xf numFmtId="168" fontId="0" fillId="0" borderId="0" xfId="0" applyNumberFormat="1"/>
    <xf numFmtId="168" fontId="5" fillId="3" borderId="1" xfId="0" applyNumberFormat="1" applyFont="1" applyFill="1" applyBorder="1"/>
    <xf numFmtId="168" fontId="5" fillId="3" borderId="0" xfId="0" applyNumberFormat="1" applyFont="1" applyFill="1"/>
    <xf numFmtId="168" fontId="5" fillId="3" borderId="2" xfId="0" applyNumberFormat="1" applyFont="1" applyFill="1" applyBorder="1"/>
    <xf numFmtId="168" fontId="5" fillId="3" borderId="2" xfId="0" applyNumberFormat="1" applyFont="1" applyFill="1" applyBorder="1" applyAlignment="1">
      <alignment horizontal="right"/>
    </xf>
    <xf numFmtId="0" fontId="6" fillId="0" borderId="0" xfId="0" applyFont="1" applyAlignment="1">
      <alignment vertical="top"/>
    </xf>
    <xf numFmtId="0" fontId="7" fillId="0" borderId="0" xfId="0" applyFont="1"/>
    <xf numFmtId="165" fontId="7" fillId="0" borderId="0" xfId="0" applyNumberFormat="1" applyFont="1"/>
    <xf numFmtId="6" fontId="7" fillId="0" borderId="0" xfId="0" applyNumberFormat="1" applyFont="1"/>
    <xf numFmtId="164" fontId="7" fillId="0" borderId="0" xfId="0" applyNumberFormat="1" applyFont="1"/>
    <xf numFmtId="166" fontId="7" fillId="0" borderId="0" xfId="0" applyNumberFormat="1" applyFont="1"/>
    <xf numFmtId="38" fontId="7" fillId="0" borderId="0" xfId="0" applyNumberFormat="1" applyFont="1"/>
    <xf numFmtId="167" fontId="7" fillId="0" borderId="0" xfId="0" applyNumberFormat="1" applyFont="1"/>
    <xf numFmtId="49" fontId="7" fillId="0" borderId="0" xfId="0" applyNumberFormat="1" applyFont="1" applyAlignment="1">
      <alignment horizontal="right"/>
    </xf>
    <xf numFmtId="168" fontId="7" fillId="0" borderId="0" xfId="0" applyNumberFormat="1" applyFont="1"/>
    <xf numFmtId="0" fontId="8" fillId="0" borderId="0" xfId="0" applyFont="1"/>
    <xf numFmtId="0" fontId="3" fillId="4" borderId="3" xfId="0" applyFont="1" applyFill="1" applyBorder="1" applyAlignment="1">
      <alignment vertical="top"/>
    </xf>
    <xf numFmtId="0" fontId="2" fillId="0" borderId="0" xfId="0" applyFont="1"/>
    <xf numFmtId="167" fontId="0" fillId="0" borderId="0" xfId="0" applyNumberFormat="1" applyAlignment="1">
      <alignment horizontal="center"/>
    </xf>
    <xf numFmtId="6" fontId="3" fillId="4" borderId="0" xfId="0" applyNumberFormat="1" applyFont="1" applyFill="1"/>
    <xf numFmtId="0" fontId="0" fillId="4" borderId="0" xfId="0" applyFill="1"/>
    <xf numFmtId="165" fontId="0" fillId="4" borderId="0" xfId="0" applyNumberFormat="1" applyFill="1"/>
    <xf numFmtId="6" fontId="0" fillId="4" borderId="0" xfId="0" applyNumberFormat="1" applyFill="1"/>
    <xf numFmtId="164" fontId="0" fillId="4" borderId="0" xfId="0" applyNumberFormat="1" applyFill="1"/>
    <xf numFmtId="6" fontId="0" fillId="0" borderId="0" xfId="0" applyNumberFormat="1" applyAlignment="1">
      <alignment horizontal="right"/>
    </xf>
    <xf numFmtId="6" fontId="0" fillId="5" borderId="0" xfId="0" applyNumberFormat="1" applyFill="1" applyAlignment="1">
      <alignment horizontal="right"/>
    </xf>
    <xf numFmtId="38" fontId="0" fillId="5" borderId="0" xfId="0" applyNumberFormat="1" applyFill="1"/>
    <xf numFmtId="167" fontId="0" fillId="5" borderId="0" xfId="0" applyNumberFormat="1" applyFill="1"/>
    <xf numFmtId="49" fontId="0" fillId="5" borderId="0" xfId="0" applyNumberFormat="1" applyFill="1" applyAlignment="1">
      <alignment horizontal="right"/>
    </xf>
    <xf numFmtId="166" fontId="0" fillId="0" borderId="0" xfId="0" applyNumberFormat="1" applyAlignment="1">
      <alignment horizontal="right"/>
    </xf>
    <xf numFmtId="169" fontId="0" fillId="0" borderId="4" xfId="1" applyNumberFormat="1" applyFont="1" applyBorder="1"/>
    <xf numFmtId="167" fontId="0" fillId="0" borderId="4" xfId="0" applyNumberFormat="1" applyBorder="1" applyAlignment="1">
      <alignment horizontal="center"/>
    </xf>
    <xf numFmtId="166" fontId="5" fillId="4" borderId="0" xfId="0" applyNumberFormat="1" applyFont="1" applyFill="1"/>
    <xf numFmtId="166" fontId="5" fillId="5" borderId="0" xfId="0" applyNumberFormat="1" applyFont="1" applyFill="1"/>
  </cellXfs>
  <cellStyles count="2">
    <cellStyle name="Comma 2" xfId="1" xr:uid="{5FF376FD-B5FE-43B2-B8A3-C14C1D2F55BD}"/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6529D-CB70-4863-80BA-CD6259C86448}">
  <dimension ref="A1:BL21"/>
  <sheetViews>
    <sheetView tabSelected="1" workbookViewId="0">
      <pane xSplit="1" ySplit="3" topLeftCell="B10" activePane="bottomRight" state="frozen"/>
      <selection pane="topRight" activeCell="B1" sqref="B1"/>
      <selection pane="bottomLeft" activeCell="A4" sqref="A4"/>
      <selection pane="bottomRight" activeCell="B21" sqref="B21"/>
    </sheetView>
  </sheetViews>
  <sheetFormatPr defaultRowHeight="15" x14ac:dyDescent="0.25"/>
  <cols>
    <col min="1" max="1" width="20.7109375" customWidth="1"/>
    <col min="2" max="2" width="22.140625" customWidth="1"/>
    <col min="3" max="3" width="16.7109375" style="17" customWidth="1"/>
    <col min="4" max="4" width="17.7109375" style="7" customWidth="1"/>
    <col min="5" max="5" width="8.7109375" customWidth="1"/>
    <col min="6" max="6" width="25" customWidth="1"/>
    <col min="7" max="8" width="17.7109375" style="7" customWidth="1"/>
    <col min="9" max="9" width="18.7109375" style="12" customWidth="1"/>
    <col min="10" max="10" width="17.7109375" style="7" customWidth="1"/>
    <col min="11" max="11" width="16.7109375" style="7" customWidth="1"/>
    <col min="12" max="12" width="19.7109375" style="7" customWidth="1"/>
    <col min="13" max="13" width="16.7109375" style="7" customWidth="1"/>
    <col min="14" max="14" width="10.7109375" style="22" customWidth="1"/>
    <col min="15" max="15" width="15.7109375" style="27" customWidth="1"/>
    <col min="16" max="16" width="13.7109375" style="32" customWidth="1"/>
    <col min="17" max="17" width="13.7109375" style="40" customWidth="1"/>
    <col min="18" max="18" width="19" style="42" customWidth="1"/>
    <col min="19" max="19" width="19.7109375" customWidth="1"/>
    <col min="20" max="20" width="13.7109375" customWidth="1"/>
    <col min="21" max="21" width="15.7109375" style="7" customWidth="1"/>
    <col min="22" max="22" width="17.7109375" customWidth="1"/>
    <col min="23" max="23" width="15.7109375" style="17" customWidth="1"/>
    <col min="24" max="24" width="40.7109375" customWidth="1"/>
    <col min="25" max="25" width="34" customWidth="1"/>
    <col min="26" max="26" width="19.7109375" customWidth="1"/>
    <col min="27" max="27" width="20.7109375" customWidth="1"/>
  </cols>
  <sheetData>
    <row r="1" spans="1:64" ht="24" thickBot="1" x14ac:dyDescent="0.4">
      <c r="A1" s="47" t="s">
        <v>81</v>
      </c>
      <c r="B1" s="48"/>
      <c r="C1" s="49"/>
      <c r="D1" s="50"/>
      <c r="E1" s="57"/>
      <c r="F1" s="48"/>
      <c r="G1" s="50"/>
      <c r="H1" s="50"/>
      <c r="I1" s="51"/>
      <c r="J1" s="50"/>
      <c r="K1" s="50"/>
      <c r="L1" s="50"/>
      <c r="M1" s="50"/>
      <c r="N1" s="52"/>
      <c r="O1" s="53"/>
      <c r="P1" s="54"/>
      <c r="Q1" s="55"/>
      <c r="R1" s="56"/>
      <c r="S1" s="48"/>
      <c r="T1" s="50"/>
      <c r="U1" s="48"/>
      <c r="V1" s="49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</row>
    <row r="2" spans="1:64" ht="15.75" thickBot="1" x14ac:dyDescent="0.3">
      <c r="A2" s="58" t="s">
        <v>83</v>
      </c>
      <c r="B2" t="s">
        <v>82</v>
      </c>
      <c r="C2"/>
      <c r="D2"/>
      <c r="G2"/>
      <c r="H2"/>
      <c r="I2"/>
      <c r="J2"/>
      <c r="K2"/>
      <c r="L2"/>
      <c r="M2"/>
      <c r="N2"/>
      <c r="O2"/>
      <c r="P2"/>
      <c r="Q2"/>
      <c r="R2"/>
      <c r="T2" s="7"/>
      <c r="U2"/>
      <c r="V2" s="17"/>
      <c r="W2"/>
    </row>
    <row r="3" spans="1:64" x14ac:dyDescent="0.25">
      <c r="A3" s="1" t="s">
        <v>0</v>
      </c>
      <c r="B3" s="1" t="s">
        <v>1</v>
      </c>
      <c r="C3" s="16" t="s">
        <v>2</v>
      </c>
      <c r="D3" s="6" t="s">
        <v>3</v>
      </c>
      <c r="E3" s="1" t="s">
        <v>4</v>
      </c>
      <c r="F3" s="1" t="s">
        <v>5</v>
      </c>
      <c r="G3" s="6" t="s">
        <v>6</v>
      </c>
      <c r="H3" s="6" t="s">
        <v>7</v>
      </c>
      <c r="I3" s="11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21" t="s">
        <v>13</v>
      </c>
      <c r="O3" s="26" t="s">
        <v>14</v>
      </c>
      <c r="P3" s="31" t="s">
        <v>15</v>
      </c>
      <c r="Q3" s="36" t="s">
        <v>16</v>
      </c>
      <c r="R3" s="41" t="s">
        <v>17</v>
      </c>
      <c r="S3" s="1" t="s">
        <v>18</v>
      </c>
      <c r="T3" s="1" t="s">
        <v>19</v>
      </c>
      <c r="U3" s="6" t="s">
        <v>20</v>
      </c>
      <c r="V3" s="1" t="s">
        <v>21</v>
      </c>
      <c r="W3" s="16" t="s">
        <v>22</v>
      </c>
      <c r="X3" s="1" t="s">
        <v>23</v>
      </c>
      <c r="Y3" s="1" t="s">
        <v>24</v>
      </c>
      <c r="Z3" s="1" t="s">
        <v>25</v>
      </c>
      <c r="AA3" s="1" t="s">
        <v>26</v>
      </c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1:64" x14ac:dyDescent="0.25">
      <c r="A4" t="s">
        <v>60</v>
      </c>
      <c r="B4" t="s">
        <v>61</v>
      </c>
      <c r="C4" s="17">
        <v>44575</v>
      </c>
      <c r="D4" s="7">
        <v>180000</v>
      </c>
      <c r="E4" t="s">
        <v>29</v>
      </c>
      <c r="F4" t="s">
        <v>37</v>
      </c>
      <c r="G4" s="7">
        <v>180000</v>
      </c>
      <c r="H4" s="7">
        <v>84700</v>
      </c>
      <c r="I4" s="12">
        <f t="shared" ref="I4:I14" si="0">H4/G4*100</f>
        <v>47.055555555555557</v>
      </c>
      <c r="J4" s="7">
        <v>211747</v>
      </c>
      <c r="K4" s="7">
        <v>125400</v>
      </c>
      <c r="L4" s="7">
        <f t="shared" ref="L4:L14" si="1">G4-K4</f>
        <v>54600</v>
      </c>
      <c r="M4" s="7">
        <v>100403.4921875</v>
      </c>
      <c r="N4" s="22">
        <f t="shared" ref="N4:N14" si="2">L4/M4</f>
        <v>0.5438057861377612</v>
      </c>
      <c r="O4" s="27">
        <v>1200</v>
      </c>
      <c r="P4" s="32">
        <f t="shared" ref="P4:P14" si="3">L4/O4</f>
        <v>45.5</v>
      </c>
      <c r="Q4" s="37" t="s">
        <v>31</v>
      </c>
      <c r="R4" s="42">
        <f t="shared" ref="R4:R14" si="4">ABS(N$17-N4)*100</f>
        <v>34.051597610422981</v>
      </c>
      <c r="S4" t="s">
        <v>62</v>
      </c>
      <c r="U4" s="7">
        <v>125400</v>
      </c>
      <c r="V4" t="s">
        <v>59</v>
      </c>
      <c r="W4" s="17" t="s">
        <v>34</v>
      </c>
      <c r="Y4" t="s">
        <v>48</v>
      </c>
      <c r="Z4">
        <v>101</v>
      </c>
      <c r="AA4">
        <v>51</v>
      </c>
    </row>
    <row r="5" spans="1:64" x14ac:dyDescent="0.25">
      <c r="A5" t="s">
        <v>51</v>
      </c>
      <c r="B5" t="s">
        <v>52</v>
      </c>
      <c r="C5" s="17">
        <v>44813</v>
      </c>
      <c r="D5" s="7">
        <v>225000</v>
      </c>
      <c r="E5" t="s">
        <v>29</v>
      </c>
      <c r="F5" t="s">
        <v>37</v>
      </c>
      <c r="G5" s="7">
        <v>225000</v>
      </c>
      <c r="H5" s="7">
        <v>87000</v>
      </c>
      <c r="I5" s="12">
        <f t="shared" si="0"/>
        <v>38.666666666666664</v>
      </c>
      <c r="J5" s="7">
        <v>264810</v>
      </c>
      <c r="K5" s="7">
        <v>125896</v>
      </c>
      <c r="L5" s="7">
        <f t="shared" si="1"/>
        <v>99104</v>
      </c>
      <c r="M5" s="7">
        <v>161527.91024709301</v>
      </c>
      <c r="N5" s="22">
        <f t="shared" si="2"/>
        <v>0.61354102735804794</v>
      </c>
      <c r="O5" s="27">
        <v>1368</v>
      </c>
      <c r="P5" s="32">
        <f t="shared" si="3"/>
        <v>72.444444444444443</v>
      </c>
      <c r="Q5" s="37" t="s">
        <v>31</v>
      </c>
      <c r="R5" s="42">
        <f t="shared" si="4"/>
        <v>27.078073488394306</v>
      </c>
      <c r="S5" t="s">
        <v>53</v>
      </c>
      <c r="U5" s="7">
        <v>109200</v>
      </c>
      <c r="V5" t="s">
        <v>33</v>
      </c>
      <c r="W5" s="17">
        <v>45191</v>
      </c>
      <c r="Y5" t="s">
        <v>36</v>
      </c>
      <c r="Z5">
        <v>101</v>
      </c>
      <c r="AA5">
        <v>70</v>
      </c>
    </row>
    <row r="6" spans="1:64" x14ac:dyDescent="0.25">
      <c r="A6" t="s">
        <v>41</v>
      </c>
      <c r="B6" t="s">
        <v>42</v>
      </c>
      <c r="C6" s="17">
        <v>44323</v>
      </c>
      <c r="D6" s="7">
        <v>275000</v>
      </c>
      <c r="E6" t="s">
        <v>29</v>
      </c>
      <c r="F6" t="s">
        <v>37</v>
      </c>
      <c r="G6" s="7">
        <v>275000</v>
      </c>
      <c r="H6" s="7">
        <v>123000</v>
      </c>
      <c r="I6" s="12">
        <f t="shared" si="0"/>
        <v>44.727272727272727</v>
      </c>
      <c r="J6" s="7">
        <v>314571</v>
      </c>
      <c r="K6" s="7">
        <v>154314</v>
      </c>
      <c r="L6" s="7">
        <f t="shared" si="1"/>
        <v>120686</v>
      </c>
      <c r="M6" s="7">
        <v>186345.34556686049</v>
      </c>
      <c r="N6" s="22">
        <f t="shared" si="2"/>
        <v>0.64764697842532382</v>
      </c>
      <c r="O6" s="27">
        <v>1512</v>
      </c>
      <c r="P6" s="32">
        <f t="shared" si="3"/>
        <v>79.818783068783063</v>
      </c>
      <c r="Q6" s="37" t="s">
        <v>31</v>
      </c>
      <c r="R6" s="42">
        <f t="shared" si="4"/>
        <v>23.667478381666719</v>
      </c>
      <c r="S6">
        <v>0</v>
      </c>
      <c r="U6" s="7">
        <v>153300</v>
      </c>
      <c r="V6" t="s">
        <v>33</v>
      </c>
      <c r="W6" s="17" t="s">
        <v>34</v>
      </c>
      <c r="Y6" t="s">
        <v>38</v>
      </c>
      <c r="Z6">
        <v>101</v>
      </c>
      <c r="AA6">
        <v>94</v>
      </c>
    </row>
    <row r="7" spans="1:64" x14ac:dyDescent="0.25">
      <c r="A7" t="s">
        <v>27</v>
      </c>
      <c r="B7" t="s">
        <v>28</v>
      </c>
      <c r="C7" s="17">
        <v>44292</v>
      </c>
      <c r="D7" s="7">
        <v>1200000</v>
      </c>
      <c r="E7" t="s">
        <v>29</v>
      </c>
      <c r="F7" t="s">
        <v>30</v>
      </c>
      <c r="G7" s="7">
        <v>1200000</v>
      </c>
      <c r="H7" s="7">
        <v>437900</v>
      </c>
      <c r="I7" s="12">
        <f t="shared" si="0"/>
        <v>36.491666666666667</v>
      </c>
      <c r="J7" s="7">
        <v>2023376</v>
      </c>
      <c r="K7" s="7">
        <v>1106112</v>
      </c>
      <c r="L7" s="7">
        <f t="shared" si="1"/>
        <v>93888</v>
      </c>
      <c r="M7" s="7">
        <v>136074.41587936052</v>
      </c>
      <c r="N7" s="22">
        <f t="shared" si="2"/>
        <v>0.68997540348244657</v>
      </c>
      <c r="O7" s="27">
        <v>1567</v>
      </c>
      <c r="P7" s="32">
        <f t="shared" si="3"/>
        <v>59.915762603701339</v>
      </c>
      <c r="Q7" s="37" t="s">
        <v>31</v>
      </c>
      <c r="R7" s="42">
        <f t="shared" si="4"/>
        <v>19.434635875954442</v>
      </c>
      <c r="S7" t="s">
        <v>32</v>
      </c>
      <c r="U7" s="7">
        <v>1106112</v>
      </c>
      <c r="V7" t="s">
        <v>33</v>
      </c>
      <c r="W7" s="17" t="s">
        <v>34</v>
      </c>
      <c r="X7" t="s">
        <v>35</v>
      </c>
      <c r="Y7" t="s">
        <v>36</v>
      </c>
      <c r="Z7">
        <v>101</v>
      </c>
      <c r="AA7">
        <v>45</v>
      </c>
      <c r="AL7" s="2"/>
      <c r="BC7" s="2"/>
      <c r="BE7" s="2"/>
    </row>
    <row r="8" spans="1:64" x14ac:dyDescent="0.25">
      <c r="A8" t="s">
        <v>57</v>
      </c>
      <c r="B8" t="s">
        <v>58</v>
      </c>
      <c r="C8" s="17">
        <v>44544</v>
      </c>
      <c r="D8" s="7">
        <v>155000</v>
      </c>
      <c r="E8" t="s">
        <v>29</v>
      </c>
      <c r="F8" t="s">
        <v>37</v>
      </c>
      <c r="G8" s="7">
        <v>155000</v>
      </c>
      <c r="H8" s="7">
        <v>49200</v>
      </c>
      <c r="I8" s="12">
        <f t="shared" si="0"/>
        <v>31.741935483870972</v>
      </c>
      <c r="J8" s="7">
        <v>166431</v>
      </c>
      <c r="K8" s="7">
        <v>100621</v>
      </c>
      <c r="L8" s="7">
        <f t="shared" si="1"/>
        <v>54379</v>
      </c>
      <c r="M8" s="7">
        <v>76523.257267441862</v>
      </c>
      <c r="N8" s="22">
        <f t="shared" si="2"/>
        <v>0.71062056088321379</v>
      </c>
      <c r="O8" s="27">
        <v>1279</v>
      </c>
      <c r="P8" s="32">
        <f t="shared" si="3"/>
        <v>42.516810007818606</v>
      </c>
      <c r="Q8" s="37" t="s">
        <v>31</v>
      </c>
      <c r="R8" s="42">
        <f t="shared" si="4"/>
        <v>17.37012013587772</v>
      </c>
      <c r="S8">
        <v>0</v>
      </c>
      <c r="U8" s="7">
        <v>87976</v>
      </c>
      <c r="V8" t="s">
        <v>33</v>
      </c>
      <c r="W8" s="17">
        <v>45223</v>
      </c>
      <c r="Y8" t="s">
        <v>36</v>
      </c>
      <c r="Z8">
        <v>101</v>
      </c>
      <c r="AA8">
        <v>45</v>
      </c>
    </row>
    <row r="9" spans="1:64" x14ac:dyDescent="0.25">
      <c r="A9" t="s">
        <v>43</v>
      </c>
      <c r="B9" t="s">
        <v>44</v>
      </c>
      <c r="C9" s="17">
        <v>44988</v>
      </c>
      <c r="D9" s="7">
        <v>80000</v>
      </c>
      <c r="E9" t="s">
        <v>29</v>
      </c>
      <c r="F9" t="s">
        <v>45</v>
      </c>
      <c r="G9" s="7">
        <v>80000</v>
      </c>
      <c r="H9" s="7">
        <v>0</v>
      </c>
      <c r="I9" s="12">
        <f t="shared" si="0"/>
        <v>0</v>
      </c>
      <c r="J9" s="7">
        <v>83336</v>
      </c>
      <c r="K9" s="7">
        <v>11844</v>
      </c>
      <c r="L9" s="7">
        <f t="shared" si="1"/>
        <v>68156</v>
      </c>
      <c r="M9" s="7">
        <v>83130.232558139498</v>
      </c>
      <c r="N9" s="22">
        <f t="shared" si="2"/>
        <v>0.81987019526660365</v>
      </c>
      <c r="O9" s="27">
        <v>0</v>
      </c>
      <c r="P9" s="32" t="e">
        <f t="shared" si="3"/>
        <v>#DIV/0!</v>
      </c>
      <c r="Q9" s="37" t="s">
        <v>31</v>
      </c>
      <c r="R9" s="42">
        <f t="shared" si="4"/>
        <v>6.4451566975387342</v>
      </c>
      <c r="U9" s="7">
        <v>11844</v>
      </c>
      <c r="V9" t="s">
        <v>33</v>
      </c>
      <c r="W9" s="17" t="s">
        <v>34</v>
      </c>
      <c r="Y9" t="s">
        <v>38</v>
      </c>
      <c r="Z9">
        <v>101</v>
      </c>
      <c r="AA9">
        <v>0</v>
      </c>
    </row>
    <row r="10" spans="1:64" x14ac:dyDescent="0.25">
      <c r="A10" t="s">
        <v>78</v>
      </c>
      <c r="B10" t="s">
        <v>79</v>
      </c>
      <c r="C10" s="17">
        <v>44568</v>
      </c>
      <c r="D10" s="7">
        <v>706500</v>
      </c>
      <c r="E10" t="s">
        <v>29</v>
      </c>
      <c r="F10" t="s">
        <v>30</v>
      </c>
      <c r="G10" s="7">
        <v>706500</v>
      </c>
      <c r="H10" s="7">
        <v>275800</v>
      </c>
      <c r="I10" s="12">
        <f t="shared" si="0"/>
        <v>39.037508846426043</v>
      </c>
      <c r="J10" s="7">
        <v>888681</v>
      </c>
      <c r="K10" s="7">
        <v>584050</v>
      </c>
      <c r="L10" s="7">
        <f t="shared" si="1"/>
        <v>122450</v>
      </c>
      <c r="M10" s="7">
        <v>130791.85882994189</v>
      </c>
      <c r="N10" s="22">
        <f t="shared" si="2"/>
        <v>0.93622035113983559</v>
      </c>
      <c r="O10" s="27">
        <v>1788</v>
      </c>
      <c r="P10" s="32">
        <f t="shared" si="3"/>
        <v>68.484340044742723</v>
      </c>
      <c r="Q10" s="37" t="s">
        <v>31</v>
      </c>
      <c r="R10" s="42">
        <f t="shared" si="4"/>
        <v>5.1898588897844604</v>
      </c>
      <c r="S10">
        <v>0</v>
      </c>
      <c r="U10" s="7">
        <v>583086</v>
      </c>
      <c r="V10" t="s">
        <v>59</v>
      </c>
      <c r="W10" s="17" t="s">
        <v>34</v>
      </c>
      <c r="X10" t="s">
        <v>80</v>
      </c>
      <c r="Y10" t="s">
        <v>38</v>
      </c>
      <c r="Z10">
        <v>101</v>
      </c>
      <c r="AA10">
        <v>45</v>
      </c>
    </row>
    <row r="11" spans="1:64" x14ac:dyDescent="0.25">
      <c r="A11" t="s">
        <v>54</v>
      </c>
      <c r="B11" t="s">
        <v>55</v>
      </c>
      <c r="C11" s="17">
        <v>44398</v>
      </c>
      <c r="D11" s="7">
        <v>500000</v>
      </c>
      <c r="E11" t="s">
        <v>29</v>
      </c>
      <c r="F11" t="s">
        <v>37</v>
      </c>
      <c r="G11" s="7">
        <v>500000</v>
      </c>
      <c r="H11" s="7">
        <v>128200</v>
      </c>
      <c r="I11" s="12">
        <f t="shared" si="0"/>
        <v>25.64</v>
      </c>
      <c r="J11" s="7">
        <v>468158</v>
      </c>
      <c r="K11" s="7">
        <v>321143</v>
      </c>
      <c r="L11" s="7">
        <f t="shared" si="1"/>
        <v>178857</v>
      </c>
      <c r="M11" s="7">
        <v>170947.6764171512</v>
      </c>
      <c r="N11" s="22">
        <f t="shared" si="2"/>
        <v>1.0462675114901723</v>
      </c>
      <c r="O11" s="27">
        <v>1272</v>
      </c>
      <c r="P11" s="32">
        <f t="shared" si="3"/>
        <v>140.61084905660377</v>
      </c>
      <c r="Q11" s="37" t="s">
        <v>31</v>
      </c>
      <c r="R11" s="42">
        <f t="shared" si="4"/>
        <v>16.194574924818127</v>
      </c>
      <c r="S11" t="s">
        <v>56</v>
      </c>
      <c r="U11" s="7">
        <v>184758</v>
      </c>
      <c r="V11" t="s">
        <v>33</v>
      </c>
      <c r="W11" s="17" t="s">
        <v>34</v>
      </c>
      <c r="Y11" t="s">
        <v>38</v>
      </c>
      <c r="Z11">
        <v>101</v>
      </c>
      <c r="AA11">
        <v>66</v>
      </c>
    </row>
    <row r="12" spans="1:64" x14ac:dyDescent="0.25">
      <c r="A12" t="s">
        <v>46</v>
      </c>
      <c r="B12" t="s">
        <v>47</v>
      </c>
      <c r="C12" s="17">
        <v>44764</v>
      </c>
      <c r="D12" s="7">
        <v>290000</v>
      </c>
      <c r="E12" t="s">
        <v>29</v>
      </c>
      <c r="F12" t="s">
        <v>37</v>
      </c>
      <c r="G12" s="7">
        <v>290000</v>
      </c>
      <c r="H12" s="7">
        <v>120400</v>
      </c>
      <c r="I12" s="12">
        <f t="shared" si="0"/>
        <v>41.517241379310342</v>
      </c>
      <c r="J12" s="7">
        <v>253412</v>
      </c>
      <c r="K12" s="7">
        <v>131632</v>
      </c>
      <c r="L12" s="7">
        <f t="shared" si="1"/>
        <v>158368</v>
      </c>
      <c r="M12" s="7">
        <v>141604.6547965116</v>
      </c>
      <c r="N12" s="22">
        <f t="shared" si="2"/>
        <v>1.118381314707328</v>
      </c>
      <c r="O12" s="27">
        <v>1044</v>
      </c>
      <c r="P12" s="32">
        <f t="shared" si="3"/>
        <v>151.6934865900383</v>
      </c>
      <c r="Q12" s="37" t="s">
        <v>31</v>
      </c>
      <c r="R12" s="42">
        <f t="shared" si="4"/>
        <v>23.405955246533704</v>
      </c>
      <c r="S12">
        <v>0</v>
      </c>
      <c r="U12" s="7">
        <v>128634</v>
      </c>
      <c r="V12" t="s">
        <v>33</v>
      </c>
      <c r="W12" s="17" t="s">
        <v>34</v>
      </c>
      <c r="Y12" t="s">
        <v>48</v>
      </c>
      <c r="Z12">
        <v>101</v>
      </c>
      <c r="AA12">
        <v>65</v>
      </c>
    </row>
    <row r="13" spans="1:64" x14ac:dyDescent="0.25">
      <c r="A13" t="s">
        <v>49</v>
      </c>
      <c r="B13" t="s">
        <v>50</v>
      </c>
      <c r="C13" s="17">
        <v>44407</v>
      </c>
      <c r="D13" s="7">
        <v>350000</v>
      </c>
      <c r="E13" t="s">
        <v>29</v>
      </c>
      <c r="F13" t="s">
        <v>37</v>
      </c>
      <c r="G13" s="7">
        <v>350000</v>
      </c>
      <c r="H13" s="7">
        <v>74500</v>
      </c>
      <c r="I13" s="12">
        <f t="shared" si="0"/>
        <v>21.285714285714285</v>
      </c>
      <c r="J13" s="7">
        <v>259069</v>
      </c>
      <c r="K13" s="7">
        <v>68542</v>
      </c>
      <c r="L13" s="7">
        <f t="shared" si="1"/>
        <v>281458</v>
      </c>
      <c r="M13" s="7">
        <v>221543.022165698</v>
      </c>
      <c r="N13" s="22">
        <f t="shared" si="2"/>
        <v>1.2704439853198806</v>
      </c>
      <c r="O13" s="27">
        <v>1260</v>
      </c>
      <c r="P13" s="32">
        <f t="shared" si="3"/>
        <v>223.37936507936507</v>
      </c>
      <c r="Q13" s="37" t="s">
        <v>31</v>
      </c>
      <c r="R13" s="42">
        <f t="shared" si="4"/>
        <v>38.612222307788954</v>
      </c>
      <c r="S13">
        <v>0</v>
      </c>
      <c r="U13" s="7">
        <v>64383</v>
      </c>
      <c r="V13" t="s">
        <v>33</v>
      </c>
      <c r="W13" s="17" t="s">
        <v>34</v>
      </c>
      <c r="Y13" t="s">
        <v>48</v>
      </c>
      <c r="Z13">
        <v>101</v>
      </c>
      <c r="AA13">
        <v>65</v>
      </c>
    </row>
    <row r="14" spans="1:64" ht="15.75" thickBot="1" x14ac:dyDescent="0.3">
      <c r="A14" t="s">
        <v>39</v>
      </c>
      <c r="B14" t="s">
        <v>40</v>
      </c>
      <c r="C14" s="17">
        <v>44433</v>
      </c>
      <c r="D14" s="7">
        <v>250900</v>
      </c>
      <c r="E14" t="s">
        <v>29</v>
      </c>
      <c r="F14" t="s">
        <v>37</v>
      </c>
      <c r="G14" s="7">
        <v>250900</v>
      </c>
      <c r="H14" s="7">
        <v>44300</v>
      </c>
      <c r="I14" s="12">
        <f t="shared" si="0"/>
        <v>17.656436827421285</v>
      </c>
      <c r="J14" s="7">
        <v>170584</v>
      </c>
      <c r="K14" s="7">
        <v>23862</v>
      </c>
      <c r="L14" s="7">
        <f t="shared" si="1"/>
        <v>227038</v>
      </c>
      <c r="M14" s="7">
        <v>170606.96911337209</v>
      </c>
      <c r="N14" s="22">
        <f t="shared" si="2"/>
        <v>1.3307662704512864</v>
      </c>
      <c r="O14" s="27">
        <v>1040</v>
      </c>
      <c r="P14" s="32">
        <f t="shared" si="3"/>
        <v>218.30576923076924</v>
      </c>
      <c r="Q14" s="37" t="s">
        <v>31</v>
      </c>
      <c r="R14" s="42">
        <f t="shared" si="4"/>
        <v>44.644450820929535</v>
      </c>
      <c r="S14">
        <v>0</v>
      </c>
      <c r="U14" s="7">
        <v>12978</v>
      </c>
      <c r="V14" t="s">
        <v>33</v>
      </c>
      <c r="W14" s="17" t="s">
        <v>34</v>
      </c>
      <c r="Y14" t="s">
        <v>38</v>
      </c>
      <c r="Z14">
        <v>101</v>
      </c>
      <c r="AA14">
        <v>70</v>
      </c>
    </row>
    <row r="15" spans="1:64" ht="15.75" thickTop="1" x14ac:dyDescent="0.25">
      <c r="A15" s="3"/>
      <c r="B15" s="3"/>
      <c r="C15" s="18" t="s">
        <v>63</v>
      </c>
      <c r="D15" s="8">
        <f>+SUM(D4:D14)</f>
        <v>4212400</v>
      </c>
      <c r="E15" s="3"/>
      <c r="F15" s="3"/>
      <c r="G15" s="8">
        <f>+SUM(G4:G14)</f>
        <v>4212400</v>
      </c>
      <c r="H15" s="8">
        <f>+SUM(H4:H14)</f>
        <v>1425000</v>
      </c>
      <c r="I15" s="13"/>
      <c r="J15" s="8">
        <f>+SUM(J4:J14)</f>
        <v>5104175</v>
      </c>
      <c r="K15" s="8"/>
      <c r="L15" s="8">
        <f>+SUM(L4:L14)</f>
        <v>1458984</v>
      </c>
      <c r="M15" s="8">
        <f>+SUM(M4:M14)</f>
        <v>1579498.83502907</v>
      </c>
      <c r="N15" s="23"/>
      <c r="O15" s="28"/>
      <c r="P15" s="33" t="e">
        <f>AVERAGE(P4:P14)</f>
        <v>#DIV/0!</v>
      </c>
      <c r="Q15" s="38"/>
      <c r="R15" s="43">
        <f>ABS(N17-N16)*100</f>
        <v>3.9378824072875185</v>
      </c>
      <c r="S15" s="3"/>
      <c r="T15" s="3"/>
      <c r="U15" s="8"/>
      <c r="V15" s="3"/>
      <c r="W15" s="18"/>
      <c r="X15" s="3"/>
      <c r="Y15" s="3"/>
      <c r="Z15" s="3"/>
      <c r="AA15" s="3"/>
    </row>
    <row r="16" spans="1:64" x14ac:dyDescent="0.25">
      <c r="A16" s="4"/>
      <c r="B16" s="4"/>
      <c r="C16" s="19"/>
      <c r="D16" s="9"/>
      <c r="E16" s="4"/>
      <c r="F16" s="4"/>
      <c r="G16" s="9"/>
      <c r="H16" s="9" t="s">
        <v>64</v>
      </c>
      <c r="I16" s="14">
        <f>H15/G15*100</f>
        <v>33.82869623017757</v>
      </c>
      <c r="J16" s="9"/>
      <c r="K16" s="9"/>
      <c r="L16" s="9"/>
      <c r="M16" s="9" t="s">
        <v>65</v>
      </c>
      <c r="N16" s="24">
        <f>L15/M15</f>
        <v>0.92370058631486618</v>
      </c>
      <c r="O16" s="29"/>
      <c r="P16" s="34" t="s">
        <v>66</v>
      </c>
      <c r="Q16" s="39">
        <f>STDEV(N4:N14)</f>
        <v>0.27376846824599738</v>
      </c>
      <c r="R16" s="44"/>
      <c r="S16" s="4"/>
      <c r="T16" s="4"/>
      <c r="U16" s="9"/>
      <c r="V16" s="4"/>
      <c r="W16" s="19"/>
      <c r="X16" s="4"/>
      <c r="Y16" s="4"/>
      <c r="Z16" s="4"/>
      <c r="AA16" s="4"/>
    </row>
    <row r="17" spans="1:27" x14ac:dyDescent="0.25">
      <c r="A17" s="5"/>
      <c r="B17" s="5"/>
      <c r="C17" s="20"/>
      <c r="D17" s="10"/>
      <c r="E17" s="5"/>
      <c r="F17" s="5"/>
      <c r="G17" s="10"/>
      <c r="H17" s="10" t="s">
        <v>67</v>
      </c>
      <c r="I17" s="15">
        <f>STDEV(I4:I14)</f>
        <v>14.044016963306971</v>
      </c>
      <c r="J17" s="10"/>
      <c r="K17" s="10"/>
      <c r="L17" s="10"/>
      <c r="M17" s="10" t="s">
        <v>68</v>
      </c>
      <c r="N17" s="25">
        <f>AVERAGE(N4:N14)</f>
        <v>0.88432176224199099</v>
      </c>
      <c r="O17" s="30"/>
      <c r="P17" s="35" t="s">
        <v>69</v>
      </c>
      <c r="Q17" s="46">
        <f>AVERAGE(R4:R14)</f>
        <v>23.281284034519061</v>
      </c>
      <c r="R17" s="45" t="s">
        <v>70</v>
      </c>
      <c r="S17" s="5">
        <f>+(Q17/N17)</f>
        <v>26.326711643389629</v>
      </c>
      <c r="T17" s="5"/>
      <c r="U17" s="10"/>
      <c r="V17" s="5"/>
      <c r="W17" s="20"/>
      <c r="X17" s="5"/>
      <c r="Y17" s="5"/>
      <c r="Z17" s="5"/>
      <c r="AA17" s="5"/>
    </row>
    <row r="18" spans="1:27" x14ac:dyDescent="0.25">
      <c r="A18" s="61"/>
      <c r="B18" s="62"/>
      <c r="C18" s="63"/>
      <c r="D18" s="64"/>
      <c r="E18" s="62"/>
      <c r="F18" s="62"/>
      <c r="G18" s="64"/>
      <c r="H18" s="64"/>
      <c r="I18" s="65"/>
      <c r="J18" s="64"/>
      <c r="K18" s="64"/>
      <c r="L18" s="67" t="s">
        <v>71</v>
      </c>
      <c r="M18" s="67" t="s">
        <v>68</v>
      </c>
      <c r="N18" s="75">
        <v>0.83670523266010299</v>
      </c>
      <c r="O18" s="68"/>
      <c r="P18" s="69" t="s">
        <v>66</v>
      </c>
      <c r="Q18" s="70">
        <v>0.40115866905427805</v>
      </c>
      <c r="R18"/>
      <c r="T18" s="7"/>
      <c r="U18"/>
      <c r="V18" s="17"/>
      <c r="W18"/>
    </row>
    <row r="19" spans="1:27" x14ac:dyDescent="0.25">
      <c r="A19" s="59"/>
      <c r="C19"/>
      <c r="D19"/>
      <c r="G19"/>
      <c r="H19"/>
      <c r="I19"/>
      <c r="J19"/>
      <c r="K19"/>
      <c r="L19" s="71" t="s">
        <v>72</v>
      </c>
      <c r="M19" s="32" t="s">
        <v>73</v>
      </c>
      <c r="N19" s="60" t="s">
        <v>74</v>
      </c>
      <c r="O19" s="27" t="s">
        <v>75</v>
      </c>
      <c r="P19" s="7"/>
      <c r="Q19" s="7"/>
      <c r="R19"/>
      <c r="T19" s="7"/>
      <c r="U19"/>
      <c r="V19" s="17"/>
      <c r="W19"/>
    </row>
    <row r="20" spans="1:27" x14ac:dyDescent="0.25">
      <c r="A20" t="s">
        <v>84</v>
      </c>
      <c r="C20"/>
      <c r="D20"/>
      <c r="G20"/>
      <c r="H20"/>
      <c r="I20"/>
      <c r="J20"/>
      <c r="K20"/>
      <c r="L20" s="66" t="s">
        <v>76</v>
      </c>
      <c r="M20" s="72">
        <f>N$18-(1.5*Q$18)</f>
        <v>0.23496722907868595</v>
      </c>
      <c r="N20" s="73" t="s">
        <v>74</v>
      </c>
      <c r="O20" s="72">
        <f>N$18+(1.5*$Q$18)</f>
        <v>1.43844323624152</v>
      </c>
      <c r="P20"/>
      <c r="Q20"/>
      <c r="R20"/>
      <c r="U20"/>
      <c r="W20"/>
    </row>
    <row r="21" spans="1:27" x14ac:dyDescent="0.25">
      <c r="C21"/>
      <c r="D21"/>
      <c r="G21"/>
      <c r="H21"/>
      <c r="I21"/>
      <c r="J21"/>
      <c r="K21"/>
      <c r="L21" s="66" t="s">
        <v>77</v>
      </c>
      <c r="M21" s="74">
        <f>N16</f>
        <v>0.92370058631486618</v>
      </c>
      <c r="N21"/>
      <c r="O21"/>
      <c r="P21"/>
      <c r="Q21"/>
      <c r="R21"/>
      <c r="T21" s="7"/>
      <c r="U21"/>
      <c r="V21" s="17"/>
      <c r="W21"/>
    </row>
  </sheetData>
  <conditionalFormatting sqref="A4:AA14">
    <cfRule type="expression" dxfId="1" priority="7" stopIfTrue="1">
      <formula>MOD(ROW(),4)&gt;1</formula>
    </cfRule>
    <cfRule type="expression" dxfId="0" priority="8" stopIfTrue="1">
      <formula>MOD(ROW(),4)&lt;2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1A739-A341-4B6E-92D8-D2EC6679B622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E.C.F. Analysis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Gooch, Liz</dc:creator>
  <cp:lastModifiedBy>David Cook</cp:lastModifiedBy>
  <dcterms:created xsi:type="dcterms:W3CDTF">2023-10-25T16:13:07Z</dcterms:created>
  <dcterms:modified xsi:type="dcterms:W3CDTF">2024-03-04T17:48:36Z</dcterms:modified>
  <cp:contentStatus/>
</cp:coreProperties>
</file>