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C523704-5198-44AC-A4C5-C445E8E90605}" xr6:coauthVersionLast="47" xr6:coauthVersionMax="47" xr10:uidLastSave="{00000000-0000-0000-0000-000000000000}"/>
  <bookViews>
    <workbookView xWindow="-120" yWindow="-120" windowWidth="19440" windowHeight="11520" firstSheet="1" activeTab="2" xr2:uid="{945961E1-8FE2-45D6-839F-DE162BCA732D}"/>
  </bookViews>
  <sheets>
    <sheet name="2023 Original" sheetId="2" r:id="rId1"/>
    <sheet name="PRIOR YR COMPARISON" sheetId="7" r:id="rId2"/>
    <sheet name="2023 Final" sheetId="3" r:id="rId3"/>
    <sheet name="ACREAGE TABLES" sheetId="5" r:id="rId4"/>
    <sheet name="2022 Final" sheetId="1" r:id="rId5"/>
  </sheets>
  <definedNames>
    <definedName name="_xlnm.Print_Area" localSheetId="3">'ACREAGE TABLES'!$A$1:$P$37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3" l="1"/>
  <c r="B28" i="3"/>
  <c r="B27" i="3"/>
  <c r="B26" i="3"/>
  <c r="B25" i="3"/>
  <c r="B24" i="3"/>
  <c r="B23" i="3"/>
  <c r="B22" i="3"/>
  <c r="B21" i="3"/>
  <c r="I9" i="3"/>
  <c r="J9" i="3" s="1"/>
  <c r="I7" i="3"/>
  <c r="I15" i="3"/>
  <c r="I14" i="3"/>
  <c r="I13" i="3"/>
  <c r="I12" i="3"/>
  <c r="I11" i="3"/>
  <c r="I10" i="3"/>
  <c r="I8" i="3"/>
  <c r="H16" i="3"/>
  <c r="G16" i="3"/>
  <c r="I16" i="3" l="1"/>
  <c r="A21" i="7" l="1"/>
  <c r="A20" i="7"/>
  <c r="A19" i="7"/>
  <c r="A18" i="7"/>
  <c r="A16" i="7"/>
  <c r="R4" i="5" l="1"/>
  <c r="E9" i="5" s="1"/>
  <c r="R5" i="5"/>
  <c r="E15" i="5" s="1"/>
  <c r="R6" i="5"/>
  <c r="E21" i="5" s="1"/>
  <c r="R7" i="5"/>
  <c r="E27" i="5" s="1"/>
  <c r="R8" i="5"/>
  <c r="E33" i="5" s="1"/>
  <c r="R3" i="5"/>
  <c r="E3" i="5" s="1"/>
  <c r="G33" i="5"/>
  <c r="G27" i="5"/>
  <c r="G21" i="5"/>
  <c r="G15" i="5"/>
  <c r="G9" i="5"/>
  <c r="G3" i="5"/>
  <c r="L33" i="5"/>
  <c r="L27" i="5"/>
  <c r="L15" i="5"/>
  <c r="L21" i="5"/>
  <c r="L9" i="5"/>
  <c r="L3" i="5"/>
  <c r="O37" i="5"/>
  <c r="K37" i="5"/>
  <c r="G37" i="5"/>
  <c r="C37" i="5"/>
  <c r="O36" i="5"/>
  <c r="K36" i="5"/>
  <c r="G36" i="5"/>
  <c r="C36" i="5"/>
  <c r="O35" i="5"/>
  <c r="K35" i="5"/>
  <c r="G35" i="5"/>
  <c r="C35" i="5"/>
  <c r="O34" i="5"/>
  <c r="K34" i="5"/>
  <c r="G34" i="5"/>
  <c r="C34" i="5"/>
  <c r="A33" i="5"/>
  <c r="O31" i="5"/>
  <c r="K31" i="5"/>
  <c r="G31" i="5"/>
  <c r="C31" i="5"/>
  <c r="O30" i="5"/>
  <c r="K30" i="5"/>
  <c r="G30" i="5"/>
  <c r="C30" i="5"/>
  <c r="O29" i="5"/>
  <c r="K29" i="5"/>
  <c r="G29" i="5"/>
  <c r="C29" i="5"/>
  <c r="O28" i="5"/>
  <c r="K28" i="5"/>
  <c r="G28" i="5"/>
  <c r="C28" i="5"/>
  <c r="A27" i="5"/>
  <c r="O25" i="5"/>
  <c r="K25" i="5"/>
  <c r="G25" i="5"/>
  <c r="C25" i="5"/>
  <c r="O24" i="5"/>
  <c r="K24" i="5"/>
  <c r="G24" i="5"/>
  <c r="C24" i="5"/>
  <c r="O23" i="5"/>
  <c r="K23" i="5"/>
  <c r="G23" i="5"/>
  <c r="C23" i="5"/>
  <c r="O22" i="5"/>
  <c r="K22" i="5"/>
  <c r="G22" i="5"/>
  <c r="C22" i="5"/>
  <c r="A21" i="5"/>
  <c r="O19" i="5"/>
  <c r="K19" i="5"/>
  <c r="G19" i="5"/>
  <c r="C19" i="5"/>
  <c r="O18" i="5"/>
  <c r="K18" i="5"/>
  <c r="G18" i="5"/>
  <c r="C18" i="5"/>
  <c r="O17" i="5"/>
  <c r="K17" i="5"/>
  <c r="G17" i="5"/>
  <c r="C17" i="5"/>
  <c r="O16" i="5"/>
  <c r="K16" i="5"/>
  <c r="G16" i="5"/>
  <c r="C16" i="5"/>
  <c r="A15" i="5"/>
  <c r="O13" i="5"/>
  <c r="K13" i="5"/>
  <c r="G13" i="5"/>
  <c r="C13" i="5"/>
  <c r="O12" i="5"/>
  <c r="K12" i="5"/>
  <c r="G12" i="5"/>
  <c r="C12" i="5"/>
  <c r="O11" i="5"/>
  <c r="K11" i="5"/>
  <c r="G11" i="5"/>
  <c r="C11" i="5"/>
  <c r="O10" i="5"/>
  <c r="K10" i="5"/>
  <c r="G10" i="5"/>
  <c r="C10" i="5"/>
  <c r="A9" i="5"/>
  <c r="O7" i="5"/>
  <c r="K7" i="5"/>
  <c r="G7" i="5"/>
  <c r="C7" i="5"/>
  <c r="O6" i="5"/>
  <c r="K6" i="5"/>
  <c r="G6" i="5"/>
  <c r="C6" i="5"/>
  <c r="O5" i="5"/>
  <c r="K5" i="5"/>
  <c r="G5" i="5"/>
  <c r="C5" i="5"/>
  <c r="O4" i="5"/>
  <c r="K4" i="5"/>
  <c r="G4" i="5"/>
  <c r="C4" i="5"/>
  <c r="A3" i="5"/>
  <c r="J12" i="3"/>
  <c r="J13" i="3"/>
  <c r="J14" i="3"/>
  <c r="J10" i="3" l="1"/>
  <c r="J15" i="3"/>
  <c r="W35" i="2"/>
  <c r="K35" i="2"/>
  <c r="Q35" i="2" s="1"/>
  <c r="I35" i="2"/>
  <c r="X28" i="2"/>
  <c r="K28" i="2"/>
  <c r="P28" i="2" s="1"/>
  <c r="I28" i="2"/>
  <c r="X11" i="2"/>
  <c r="K11" i="2"/>
  <c r="P11" i="2" s="1"/>
  <c r="I11" i="2"/>
  <c r="K15" i="2"/>
  <c r="I15" i="2"/>
  <c r="X14" i="2"/>
  <c r="N14" i="2"/>
  <c r="M14" i="2"/>
  <c r="K14" i="2"/>
  <c r="P14" i="2" s="1"/>
  <c r="I14" i="2"/>
  <c r="X24" i="2"/>
  <c r="K24" i="2"/>
  <c r="Q24" i="2" s="1"/>
  <c r="I24" i="2"/>
  <c r="X21" i="2"/>
  <c r="K21" i="2"/>
  <c r="P21" i="2" s="1"/>
  <c r="I21" i="2"/>
  <c r="X2" i="2"/>
  <c r="K2" i="2"/>
  <c r="P2" i="2" s="1"/>
  <c r="I2" i="2"/>
  <c r="X27" i="2"/>
  <c r="K27" i="2"/>
  <c r="P27" i="2" s="1"/>
  <c r="I27" i="2"/>
  <c r="X16" i="2"/>
  <c r="K16" i="2"/>
  <c r="P16" i="2" s="1"/>
  <c r="I16" i="2"/>
  <c r="K18" i="2"/>
  <c r="I18" i="2"/>
  <c r="X19" i="2"/>
  <c r="N19" i="2"/>
  <c r="M19" i="2"/>
  <c r="K19" i="2"/>
  <c r="I19" i="2"/>
  <c r="X26" i="2"/>
  <c r="K26" i="2"/>
  <c r="P26" i="2" s="1"/>
  <c r="I26" i="2"/>
  <c r="X30" i="2"/>
  <c r="K30" i="2"/>
  <c r="P30" i="2" s="1"/>
  <c r="I30" i="2"/>
  <c r="W34" i="2"/>
  <c r="W20" i="2"/>
  <c r="W29" i="2"/>
  <c r="W13" i="2"/>
  <c r="W25" i="2"/>
  <c r="W22" i="2"/>
  <c r="W7" i="2"/>
  <c r="W6" i="2"/>
  <c r="W3" i="2"/>
  <c r="W17" i="2"/>
  <c r="W5" i="2"/>
  <c r="W9" i="2"/>
  <c r="W4" i="2"/>
  <c r="W23" i="2"/>
  <c r="W10" i="2"/>
  <c r="W12" i="2"/>
  <c r="P35" i="2" l="1"/>
  <c r="J16" i="3"/>
  <c r="P19" i="2"/>
  <c r="J17" i="3"/>
  <c r="I17" i="3"/>
  <c r="Q28" i="2"/>
  <c r="Q14" i="2"/>
  <c r="Q27" i="2"/>
  <c r="Q19" i="2"/>
  <c r="Q16" i="2"/>
  <c r="Q30" i="2"/>
  <c r="P24" i="2"/>
  <c r="Q21" i="2"/>
  <c r="Q26" i="2"/>
  <c r="Q11" i="2"/>
  <c r="Q2" i="2"/>
  <c r="K29" i="2"/>
  <c r="H110" i="1"/>
  <c r="G110" i="1"/>
  <c r="D110" i="1"/>
  <c r="I107" i="1"/>
  <c r="H100" i="1"/>
  <c r="G100" i="1"/>
  <c r="J101" i="1" s="1"/>
  <c r="D100" i="1"/>
  <c r="K99" i="1"/>
  <c r="J99" i="1"/>
  <c r="K98" i="1"/>
  <c r="J98" i="1"/>
  <c r="K97" i="1"/>
  <c r="J97" i="1"/>
  <c r="K91" i="1"/>
  <c r="J91" i="1"/>
  <c r="H88" i="1"/>
  <c r="G88" i="1"/>
  <c r="J89" i="1" s="1"/>
  <c r="D88" i="1"/>
  <c r="K87" i="1"/>
  <c r="J87" i="1"/>
  <c r="K86" i="1"/>
  <c r="J86" i="1"/>
  <c r="K85" i="1"/>
  <c r="K74" i="1"/>
  <c r="H73" i="1"/>
  <c r="G73" i="1"/>
  <c r="D73" i="1"/>
  <c r="H63" i="1"/>
  <c r="G63" i="1"/>
  <c r="K64" i="1" s="1"/>
  <c r="D63" i="1"/>
  <c r="K62" i="1"/>
  <c r="J62" i="1"/>
  <c r="K60" i="1"/>
  <c r="J60" i="1"/>
  <c r="K59" i="1"/>
  <c r="J59" i="1"/>
  <c r="I59" i="1"/>
  <c r="K58" i="1"/>
  <c r="J58" i="1"/>
  <c r="K50" i="1"/>
  <c r="J50" i="1"/>
  <c r="G47" i="1"/>
  <c r="D47" i="1"/>
  <c r="K46" i="1"/>
  <c r="J46" i="1"/>
  <c r="K45" i="1"/>
  <c r="J45" i="1"/>
  <c r="H44" i="1"/>
  <c r="J44" i="1" s="1"/>
  <c r="K43" i="1"/>
  <c r="J43" i="1"/>
  <c r="I42" i="1"/>
  <c r="H42" i="1"/>
  <c r="J42" i="1" s="1"/>
  <c r="K41" i="1"/>
  <c r="J41" i="1"/>
  <c r="K40" i="1"/>
  <c r="J40" i="1"/>
  <c r="K39" i="1"/>
  <c r="J39" i="1"/>
  <c r="K38" i="1"/>
  <c r="J38" i="1"/>
  <c r="K37" i="1"/>
  <c r="J37" i="1"/>
  <c r="I31" i="1"/>
  <c r="H31" i="1"/>
  <c r="K31" i="1" s="1"/>
  <c r="H28" i="1"/>
  <c r="G28" i="1"/>
  <c r="K29" i="1" s="1"/>
  <c r="D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H14" i="1"/>
  <c r="G14" i="1"/>
  <c r="K15" i="1" s="1"/>
  <c r="D14" i="1"/>
  <c r="K13" i="1"/>
  <c r="J13" i="1"/>
  <c r="J12" i="1"/>
  <c r="K11" i="1"/>
  <c r="J11" i="1"/>
  <c r="J10" i="1"/>
  <c r="K9" i="1"/>
  <c r="J9" i="1"/>
  <c r="J111" i="1" l="1"/>
  <c r="J31" i="1"/>
  <c r="K42" i="1"/>
  <c r="P29" i="2"/>
  <c r="Q29" i="2"/>
  <c r="H47" i="1"/>
  <c r="K48" i="1" s="1"/>
  <c r="K44" i="1"/>
  <c r="M7" i="2" l="1"/>
  <c r="N7" i="2"/>
  <c r="K25" i="2"/>
  <c r="I25" i="2"/>
  <c r="K23" i="2"/>
  <c r="I23" i="2"/>
  <c r="K22" i="2"/>
  <c r="I22" i="2"/>
  <c r="K20" i="2"/>
  <c r="I20" i="2"/>
  <c r="K34" i="2"/>
  <c r="I34" i="2"/>
  <c r="K17" i="2"/>
  <c r="I17" i="2"/>
  <c r="K13" i="2"/>
  <c r="I13" i="2"/>
  <c r="K12" i="2"/>
  <c r="I12" i="2"/>
  <c r="K10" i="2"/>
  <c r="I10" i="2"/>
  <c r="K9" i="2"/>
  <c r="I9" i="2"/>
  <c r="K8" i="2"/>
  <c r="I8" i="2"/>
  <c r="K7" i="2"/>
  <c r="I7" i="2"/>
  <c r="K6" i="2"/>
  <c r="I6" i="2"/>
  <c r="K5" i="2"/>
  <c r="I5" i="2"/>
  <c r="K4" i="2"/>
  <c r="I4" i="2"/>
  <c r="K3" i="2"/>
  <c r="I3" i="2"/>
  <c r="Q34" i="2" l="1"/>
  <c r="P34" i="2"/>
  <c r="P17" i="2"/>
  <c r="Q17" i="2"/>
  <c r="P6" i="2"/>
  <c r="Q6" i="2"/>
  <c r="P7" i="2"/>
  <c r="Q7" i="2"/>
  <c r="P13" i="2"/>
  <c r="Q13" i="2"/>
  <c r="P4" i="2"/>
  <c r="Q4" i="2"/>
  <c r="P12" i="2"/>
  <c r="Q12" i="2"/>
  <c r="P3" i="2"/>
  <c r="Q3" i="2"/>
  <c r="P25" i="2"/>
  <c r="Q25" i="2"/>
  <c r="P10" i="2"/>
  <c r="Q10" i="2"/>
  <c r="Q5" i="2"/>
  <c r="P5" i="2"/>
  <c r="Q22" i="2"/>
  <c r="P22" i="2"/>
  <c r="P23" i="2"/>
  <c r="Q23" i="2"/>
  <c r="Q9" i="2"/>
  <c r="P9" i="2"/>
  <c r="Q20" i="2"/>
  <c r="P20" i="2"/>
</calcChain>
</file>

<file path=xl/sharedStrings.xml><?xml version="1.0" encoding="utf-8"?>
<sst xmlns="http://schemas.openxmlformats.org/spreadsheetml/2006/main" count="1174" uniqueCount="445">
  <si>
    <t>02-13-5-31-1001-000</t>
  </si>
  <si>
    <t>23CI</t>
  </si>
  <si>
    <t>DRAIN/RD ROW</t>
  </si>
  <si>
    <t>03-11-6-22-1444-036</t>
  </si>
  <si>
    <t>NO RROW</t>
  </si>
  <si>
    <t>03-11-6-22-1444-043</t>
  </si>
  <si>
    <t>VACANT CONDO SITE</t>
  </si>
  <si>
    <t>03-11-6-22-4423-000</t>
  </si>
  <si>
    <t>03-11-6-23-2003-008</t>
  </si>
  <si>
    <t>RROW</t>
  </si>
  <si>
    <t>NET (.242 AC RROW)</t>
  </si>
  <si>
    <t>03-11-6-35-2409-000</t>
  </si>
  <si>
    <t>HEINLEIN STRASSE</t>
  </si>
  <si>
    <t>05-10-6-22-4005-000</t>
  </si>
  <si>
    <t>HIGH VISIBILITY LOCATION</t>
  </si>
  <si>
    <t>05-10-6-22-4005-003</t>
  </si>
  <si>
    <t>NET (MINUS RROW)</t>
  </si>
  <si>
    <t>05-10-6-28-2008-006</t>
  </si>
  <si>
    <t>05-10-6-28-2039-000</t>
  </si>
  <si>
    <t>NET (.57 AC RROW)</t>
  </si>
  <si>
    <t>09-11-5-22-1002-006</t>
  </si>
  <si>
    <t>NO WOODS</t>
  </si>
  <si>
    <t>11-12-4-05-0602-001</t>
  </si>
  <si>
    <t>LOW/WET</t>
  </si>
  <si>
    <t>13-09-3-07-3004-001</t>
  </si>
  <si>
    <t>NET (NO ROW)</t>
  </si>
  <si>
    <t>14-11-6-23-2008-002</t>
  </si>
  <si>
    <t>NO VALUE BLDG</t>
  </si>
  <si>
    <t>14-11-6-23-2008-003</t>
  </si>
  <si>
    <t>NO ROW</t>
  </si>
  <si>
    <t>18-13-4-34-1009-000</t>
  </si>
  <si>
    <t>NO WOODS/202</t>
  </si>
  <si>
    <t>RROW &amp; DROW</t>
  </si>
  <si>
    <t>23-12-4-02-2004-051</t>
  </si>
  <si>
    <t>23-12-4-05-2014-000</t>
  </si>
  <si>
    <t>.78 AC WOODED</t>
  </si>
  <si>
    <t>23-12-4-05-2014-001</t>
  </si>
  <si>
    <t>&lt;4 AC SCR/WOODS</t>
  </si>
  <si>
    <t>23-12-4-10-4012-001</t>
  </si>
  <si>
    <t>NET (MINUS .04 AC RROW)</t>
  </si>
  <si>
    <t>23-12-4-11-1310-000</t>
  </si>
  <si>
    <t>NET - NO RROW</t>
  </si>
  <si>
    <t>23-12-4-11-1314-002</t>
  </si>
  <si>
    <t>23-12-4-11-2004-003</t>
  </si>
  <si>
    <t>23-12-4-17-3005-000</t>
  </si>
  <si>
    <t>NET (MINUS .25AC ROW)</t>
  </si>
  <si>
    <t>25-11-4-14-4001-005</t>
  </si>
  <si>
    <t>NET (MINUS ROW)</t>
  </si>
  <si>
    <t>28-12-3-26-2006-004</t>
  </si>
  <si>
    <t>NET (MINUS .15AC ROW)</t>
  </si>
  <si>
    <t>29-13-3-23-2002-010</t>
  </si>
  <si>
    <t>29-13-3-27-3001-007</t>
  </si>
  <si>
    <t>29-13-3-35-3001-010</t>
  </si>
  <si>
    <t>92-10-4-42-8000-200</t>
  </si>
  <si>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</si>
  <si>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</si>
  <si>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</si>
  <si>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</si>
  <si>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</si>
  <si>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</si>
  <si>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</si>
  <si>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</si>
  <si>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</si>
  <si>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</si>
  <si>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</si>
  <si>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Liber/Page</t>
  </si>
  <si>
    <t>Other Parcels in Sale</t>
  </si>
  <si>
    <t>Land Table</t>
  </si>
  <si>
    <t>Class</t>
  </si>
  <si>
    <t>N WESTERVELT</t>
  </si>
  <si>
    <t>WD</t>
  </si>
  <si>
    <t>03-ARM'S LENGTH</t>
  </si>
  <si>
    <t>302</t>
  </si>
  <si>
    <t>285 KLEINER</t>
  </si>
  <si>
    <t>201</t>
  </si>
  <si>
    <t>452 N FRANKLIN</t>
  </si>
  <si>
    <t>CHURCHGROVE</t>
  </si>
  <si>
    <t>202</t>
  </si>
  <si>
    <t>CREDIT UNION</t>
  </si>
  <si>
    <t>207</t>
  </si>
  <si>
    <t>BIRCH RUN</t>
  </si>
  <si>
    <t>19-MULTI PARCEL ARM'S LENGTH</t>
  </si>
  <si>
    <t>9315 TIFFANY</t>
  </si>
  <si>
    <t>32-SPLIT VACANT</t>
  </si>
  <si>
    <t>6605 DIXIE</t>
  </si>
  <si>
    <t>102</t>
  </si>
  <si>
    <t>BALSAM</t>
  </si>
  <si>
    <t>MLC</t>
  </si>
  <si>
    <t>12958 BRADY</t>
  </si>
  <si>
    <t>S GERA</t>
  </si>
  <si>
    <t>3101 KOCHVILLE</t>
  </si>
  <si>
    <t>402</t>
  </si>
  <si>
    <t>S MCLEOD</t>
  </si>
  <si>
    <t>TITTABAWASSEE</t>
  </si>
  <si>
    <t>SHATTUCK</t>
  </si>
  <si>
    <t>CD</t>
  </si>
  <si>
    <t>ENTERPRISE</t>
  </si>
  <si>
    <t>FASHION SQUARE</t>
  </si>
  <si>
    <t>WIENEKE</t>
  </si>
  <si>
    <t>4930 EAST</t>
  </si>
  <si>
    <t>370 KENNELY</t>
  </si>
  <si>
    <t>8787 W FREELAND</t>
  </si>
  <si>
    <t>MIDLAND</t>
  </si>
  <si>
    <t>5120 MIDLAND</t>
  </si>
  <si>
    <t>1902 CUMBERLAND</t>
  </si>
  <si>
    <t>aadj</t>
  </si>
  <si>
    <t>arsn</t>
  </si>
  <si>
    <t>adhocdesc</t>
  </si>
  <si>
    <t>AdjReason</t>
  </si>
  <si>
    <t>Rate Type</t>
  </si>
  <si>
    <t>SF</t>
  </si>
  <si>
    <t>Net Acres of Sale</t>
  </si>
  <si>
    <t>Total Acres of Sale</t>
  </si>
  <si>
    <t>SQ FT of Sale</t>
  </si>
  <si>
    <t xml:space="preserve"> parcel totalacres</t>
  </si>
  <si>
    <t>parcel adhoc acres</t>
  </si>
  <si>
    <t>Parcel SqFootage</t>
  </si>
  <si>
    <t>SQFt Adj</t>
  </si>
  <si>
    <t>Parcels.exemptcode</t>
  </si>
  <si>
    <t>Sales.grantor</t>
  </si>
  <si>
    <t>Sales.grantee</t>
  </si>
  <si>
    <t>TAXABLE</t>
  </si>
  <si>
    <t>LANGSCHWAGER, H &amp; M-LANGSCHWAGER, C</t>
  </si>
  <si>
    <t>MICH ELECTRIC TRANSMISSION CO LLC</t>
  </si>
  <si>
    <t>KOESTER, PAUL M</t>
  </si>
  <si>
    <t>BRENTAL REAL ESTATE LLC</t>
  </si>
  <si>
    <t>NASH, RICHARD &amp; CAROL</t>
  </si>
  <si>
    <t>KOESTER, JOHN C TRUST</t>
  </si>
  <si>
    <t>CHURCHGROVE PROPERTIES LLC</t>
  </si>
  <si>
    <t>FRANKENMUTH CREDIT UNION</t>
  </si>
  <si>
    <t>UPTOWN GIRL PROPERTIES LLC</t>
  </si>
  <si>
    <t>KEYES, S M &amp; N M</t>
  </si>
  <si>
    <t>ZEHNDER, CHRISTOPHER A</t>
  </si>
  <si>
    <t>KONG-FUNG HOLDING LLC</t>
  </si>
  <si>
    <t xml:space="preserve">WOLVERINE SIGN WORKS </t>
  </si>
  <si>
    <t>RAUSCH, SCOTT TRUST</t>
  </si>
  <si>
    <t>GREAT LAKES FEDERAL CREDIT UNION</t>
  </si>
  <si>
    <t>FORWARD CORPORATION</t>
  </si>
  <si>
    <t>8542 SHAVER RD LLC</t>
  </si>
  <si>
    <t>SCHLUCKEBIER, MARK &amp; CHERYL A ETAL</t>
  </si>
  <si>
    <t>SEELMAN PROPERTIES LLC</t>
  </si>
  <si>
    <t>SATKOWIAK, R B &amp; L E</t>
  </si>
  <si>
    <t>SATKOWIAK HOLDINGS LLC</t>
  </si>
  <si>
    <t>BRASS BELL INVESTMENTS LLC</t>
  </si>
  <si>
    <t>GREAT LAKES TACO LLC</t>
  </si>
  <si>
    <t>LOESEL, A ESTATE - NOWAK TRUST</t>
  </si>
  <si>
    <t>ASCENSION ST MARYS HOSPITAL</t>
  </si>
  <si>
    <t>CENTRAL PROPERTY DEVELOPMENT</t>
  </si>
  <si>
    <t>BEYER DEVELOPMENT</t>
  </si>
  <si>
    <t>BIERLEIN INVESTMENT LLC</t>
  </si>
  <si>
    <t>6109/6115 MERLIN COURT LLC</t>
  </si>
  <si>
    <t>WOLOHAN REALTY LLC</t>
  </si>
  <si>
    <t>MEEK PHYLLIS J</t>
  </si>
  <si>
    <t>SHATTUCK HOLDINGS LLC</t>
  </si>
  <si>
    <t>R JAMES PAAS FAMILY LLC</t>
  </si>
  <si>
    <t>SPARKLE PRO CLEAN INC</t>
  </si>
  <si>
    <t>ARELLANO LLC</t>
  </si>
  <si>
    <t>TATT HOLDINGS LLC</t>
  </si>
  <si>
    <t>JOHN F POPP BUSINESS CORP</t>
  </si>
  <si>
    <t>LRS REAL ESTATE LLC</t>
  </si>
  <si>
    <t>TREIB INC</t>
  </si>
  <si>
    <t>F &amp; A FRANCHISE INVESTMENT PARTNERS</t>
  </si>
  <si>
    <t>P.M. FARMS LLC</t>
  </si>
  <si>
    <t>SAGINAW SPAULDING BTS RETAIL LLC</t>
  </si>
  <si>
    <t>TREW, JAMES W TRUST</t>
  </si>
  <si>
    <t>MILLER, JUSTIN</t>
  </si>
  <si>
    <t>EGGERS EXCAVATING LLC</t>
  </si>
  <si>
    <t>MYERS PROPERTY HOLDINGS LLC</t>
  </si>
  <si>
    <t>BAIG, MIRZA &amp; RANA</t>
  </si>
  <si>
    <t>SDR REALTY LLC</t>
  </si>
  <si>
    <t>RAPANOS, M TRUST- RAPANOS, D G</t>
  </si>
  <si>
    <t>H2 MEDICAL PROPERTIES LLC</t>
  </si>
  <si>
    <t>PASCARELLA, DAVID ANTHONY</t>
  </si>
  <si>
    <t>HERNANDEZ, REY &amp; BALLESTEROS, DALIA</t>
  </si>
  <si>
    <t>parcel acres</t>
  </si>
  <si>
    <t>Med-High/Urban-btw Bay/Shust</t>
  </si>
  <si>
    <t>Intended Use</t>
  </si>
  <si>
    <t>Multi-Res (permit)</t>
  </si>
  <si>
    <t>Credit Union</t>
  </si>
  <si>
    <t>Warehouse/Storage</t>
  </si>
  <si>
    <t>Possible medical expansion</t>
  </si>
  <si>
    <t>former gas station, future??</t>
  </si>
  <si>
    <t>Existing billboards, purchased by sign company</t>
  </si>
  <si>
    <t>Traffic/Location</t>
  </si>
  <si>
    <t>EGLE Permit for dumping (environmental)</t>
  </si>
  <si>
    <t>Possible development…</t>
  </si>
  <si>
    <t>Buyer from NJ, plans not known</t>
  </si>
  <si>
    <t>Not Used</t>
  </si>
  <si>
    <t>Parking Lot</t>
  </si>
  <si>
    <t>SAGINAW COUNTY 2022 Commercial &amp; Industrial Vacant Land Sales Analysis</t>
  </si>
  <si>
    <t>SQUARE FOOT ANALYSIS (Under 5 acres)</t>
  </si>
  <si>
    <t>LOW DENSITY RURAL</t>
  </si>
  <si>
    <t>Description: Commercial or industrial land in low traffic, rural areas of Saginaw County; under 5 acres</t>
  </si>
  <si>
    <t>LDR:   $0.35 PER SQFT</t>
  </si>
  <si>
    <t>2021:   $0.26 PER SQFT</t>
  </si>
  <si>
    <t>Adj.    Sale $</t>
  </si>
  <si>
    <t>Net Acres</t>
  </si>
  <si>
    <t>Total Acres</t>
  </si>
  <si>
    <t>Dollars /Acre</t>
  </si>
  <si>
    <t>Dollars /SqFt</t>
  </si>
  <si>
    <t>02-13-5-31-3010-006</t>
  </si>
  <si>
    <t>LOW DENSITY RURAL 2022</t>
  </si>
  <si>
    <t>12-022-029-01                  (Gratiot Co)</t>
  </si>
  <si>
    <t>W MONROE/N BEGOLE RD, ALMA</t>
  </si>
  <si>
    <t>2022 COMMERCIAL RURAL RATES</t>
  </si>
  <si>
    <t>1087/1151</t>
  </si>
  <si>
    <t>29-13-3-16-2108-001</t>
  </si>
  <si>
    <t>8700 CARTER</t>
  </si>
  <si>
    <t>LOW DENSITY SUBURBAN 2022</t>
  </si>
  <si>
    <t>010-026-200-140-00 (Midland Co)</t>
  </si>
  <si>
    <t>4870 N LAKE SANFORD RD, SANFORD</t>
  </si>
  <si>
    <t>2100 OCMR (MIDLAND COUNTY)</t>
  </si>
  <si>
    <t>1637/865</t>
  </si>
  <si>
    <t>Totals:</t>
  </si>
  <si>
    <t>Average</t>
  </si>
  <si>
    <t>per SqFt=&gt;</t>
  </si>
  <si>
    <t>LOW DENSITY SUBURBAN</t>
  </si>
  <si>
    <t>Description: Commercial or industrial land in low traffic, small town areas of Saginaw County; under 5 acres</t>
  </si>
  <si>
    <t>LDS:   $0.79 PER SQFT</t>
  </si>
  <si>
    <t>2021:   $0.46 PER SQFT</t>
  </si>
  <si>
    <t>51-344-621-10        (Gratiot Co)</t>
  </si>
  <si>
    <t>319 E SUPERIOR, ALMA</t>
  </si>
  <si>
    <t>2022 COMMERCIAL URBAN</t>
  </si>
  <si>
    <t>1069/358</t>
  </si>
  <si>
    <t>29-13-3-27-2002-000</t>
  </si>
  <si>
    <t>6560 MIDLAND</t>
  </si>
  <si>
    <t>03-11-6-35-2108-005</t>
  </si>
  <si>
    <t>CONWAY</t>
  </si>
  <si>
    <t>09-11-5-25-2006-001</t>
  </si>
  <si>
    <t>BARON</t>
  </si>
  <si>
    <t>09-11-5-25-2006-002</t>
  </si>
  <si>
    <t>09-11-5-25-2006-003</t>
  </si>
  <si>
    <t>10-12-5-16-1002-000    CORRECTED</t>
  </si>
  <si>
    <t>3700 E WASHINGTON</t>
  </si>
  <si>
    <t>Outliers</t>
  </si>
  <si>
    <t>05-10-6-22-4005-000 &amp; 05-10-6-22-4005-003</t>
  </si>
  <si>
    <t>10900 BIRCH RUN</t>
  </si>
  <si>
    <t xml:space="preserve">MEDIUM DENSITY </t>
  </si>
  <si>
    <t>Description: Commercial or industrial land in medium traffic business areas of Saginaw County; under 5 acres</t>
  </si>
  <si>
    <t>MD:   $1.74 PER SQFT</t>
  </si>
  <si>
    <t>2021:   $1.50 PER SQFT</t>
  </si>
  <si>
    <t>91-30-2-05-7000-100</t>
  </si>
  <si>
    <t>1331 WEISS</t>
  </si>
  <si>
    <t>OTH</t>
  </si>
  <si>
    <t>MEDIUM DENSITY 2022</t>
  </si>
  <si>
    <t>18-13-4-36-3106-000</t>
  </si>
  <si>
    <t>1685 CHAMPAGNE DR E</t>
  </si>
  <si>
    <t>23-12-4-19-1608-000</t>
  </si>
  <si>
    <t>6368 AMANDA</t>
  </si>
  <si>
    <t>23-12-4-19-1605-000</t>
  </si>
  <si>
    <t>6290 NORMANDY</t>
  </si>
  <si>
    <t>23-12-4-29-1005-004</t>
  </si>
  <si>
    <t>GRATIOT</t>
  </si>
  <si>
    <t>91-30-0-42-0000-000 &amp; 91-30-0-42-1000-000</t>
  </si>
  <si>
    <t>2115 N MICHIGAN</t>
  </si>
  <si>
    <t>18-13-4-26-2001-003</t>
  </si>
  <si>
    <t>6000 BAY</t>
  </si>
  <si>
    <t>23-12-4-02-3001-005 &amp; 23-12-4-02-3023-000</t>
  </si>
  <si>
    <t>SCHUST</t>
  </si>
  <si>
    <t>KLEINER</t>
  </si>
  <si>
    <t>Outlier</t>
  </si>
  <si>
    <t>SQUARE FOOT ANALYSIS (Under 5 acres) - continued</t>
  </si>
  <si>
    <t>HIGH DENSITY</t>
  </si>
  <si>
    <t>Description: Commercial or industrial land in high traffic business areas of Saginaw County; under 5 acres</t>
  </si>
  <si>
    <t>HD:   $3.03 PER SQFT</t>
  </si>
  <si>
    <t>2021:   $3.30 PER SQFT</t>
  </si>
  <si>
    <t>HIGH DENSITY 2022</t>
  </si>
  <si>
    <t>23-12-4-02-2004-009 &amp; 23-12-4-02-2004-010</t>
  </si>
  <si>
    <t>WENMAR</t>
  </si>
  <si>
    <t>051-500-304-0100-02    (Tuscola Co)</t>
  </si>
  <si>
    <t>936 W HURON, VASSAR</t>
  </si>
  <si>
    <t>HIGH DENSITY LAND</t>
  </si>
  <si>
    <t>1489/1124</t>
  </si>
  <si>
    <t>02-22-200-029    (Genesee Co)</t>
  </si>
  <si>
    <t>10319 HEGEL RD, GOODRICH</t>
  </si>
  <si>
    <t>HIGH TRAFFIC-GENESEE CO</t>
  </si>
  <si>
    <t>03-11-6-22-4423-000 *</t>
  </si>
  <si>
    <t>* Adj. Sale $ reflects $13,934 of land improvements removed</t>
  </si>
  <si>
    <t>HIGH DENSITY PRIME</t>
  </si>
  <si>
    <t>Description: Commercial or industrial land in high traffic, prime business areas of Saginaw County; under 5 acres</t>
  </si>
  <si>
    <t>HDP:   $8.21 PER SQFT</t>
  </si>
  <si>
    <t>2021:   $8.36 PER SQFT</t>
  </si>
  <si>
    <t>05-15-501-079       (Genesee Co)</t>
  </si>
  <si>
    <t>S STATE RD, DAVISON</t>
  </si>
  <si>
    <r>
      <t> </t>
    </r>
    <r>
      <rPr>
        <sz val="10"/>
        <color rgb="FF333333"/>
        <rFont val="Roboto"/>
      </rPr>
      <t>202108130067432</t>
    </r>
  </si>
  <si>
    <t>56-16-526-054          (Genesee Co)</t>
  </si>
  <si>
    <t>209 REID RD, GRAND BLANC</t>
  </si>
  <si>
    <t>ACREAGE ANALYSIS (5 acres and larger)</t>
  </si>
  <si>
    <t>Note:  Land owned by Consumers Energy is generally priced using Agricultural land rates</t>
  </si>
  <si>
    <t>RURAL CI ACREAGE</t>
  </si>
  <si>
    <t>Description: Commercial or industrial land in low traffic, rural areas of Saginaw County; 5 acres and larger</t>
  </si>
  <si>
    <t>CIAR: $12,300 PER SQAC</t>
  </si>
  <si>
    <t>2021:  Used Ag Values OR SqFt</t>
  </si>
  <si>
    <t>02-15-100-023              (Genesee Co)</t>
  </si>
  <si>
    <t>10275 SOJOURNER DR, GOODRICH</t>
  </si>
  <si>
    <t>RURAL-GENESEE CO</t>
  </si>
  <si>
    <t>C/I AC 2022 RURAL</t>
  </si>
  <si>
    <t xml:space="preserve"> Average per Net Acre=&gt;</t>
  </si>
  <si>
    <t>06-12-6-35-2002-001</t>
  </si>
  <si>
    <t>1075 S GERA</t>
  </si>
  <si>
    <t>LOW DENSITY RURAL 2023</t>
  </si>
  <si>
    <t>SUBURBAN CI ACREAGE</t>
  </si>
  <si>
    <t>Description: Commercial or industrial land in low traffic, small town areas of Saginaw County; 5 acres and larger</t>
  </si>
  <si>
    <t>CIAS: $19,100 PER SQAC</t>
  </si>
  <si>
    <t>29-13-3-22-2004-001</t>
  </si>
  <si>
    <t>9900 W FREELAND</t>
  </si>
  <si>
    <t>C/I AC 2022 SUBURBAN</t>
  </si>
  <si>
    <t>9075 BIRCH RUN</t>
  </si>
  <si>
    <t>MEDIUM DENSITY CI ACREAGE</t>
  </si>
  <si>
    <t>Description: Commercial or industrial land in medium traffic, business areas of Saginaw County; 5 acres and larger</t>
  </si>
  <si>
    <t>CIAM: $30,700 PER SQAC</t>
  </si>
  <si>
    <t>12-18-300-026/027           (Genesee Co)</t>
  </si>
  <si>
    <t>E GRAND BLANC RD, GRAND BLANC</t>
  </si>
  <si>
    <t>52-050-006-00            (Gratiot Co)</t>
  </si>
  <si>
    <t>160 S CROSWELL RD,  ITHACA</t>
  </si>
  <si>
    <t>1104/438</t>
  </si>
  <si>
    <t>52-060-200-01           (Gratiot Co)</t>
  </si>
  <si>
    <t>INDUSTRIAL PKWAY, ITHACA</t>
  </si>
  <si>
    <t>1060/765</t>
  </si>
  <si>
    <t>Previous Year LV Analysis</t>
  </si>
  <si>
    <t>Outlier for Low Density Suburban</t>
  </si>
  <si>
    <t>MEDIUM DENSITY</t>
  </si>
  <si>
    <t>Outlier for MEDIUM DENSITY</t>
  </si>
  <si>
    <t>Inquiry sent to Assr</t>
  </si>
  <si>
    <t>HESSE TR NO 1, BARBARA A</t>
  </si>
  <si>
    <t>KAUR, NAVKIRANDEEP</t>
  </si>
  <si>
    <t>Now Dollar General</t>
  </si>
  <si>
    <t>Now Bigbee Coffee</t>
  </si>
  <si>
    <t>Now Taco Bell</t>
  </si>
  <si>
    <t>Per Assr, do not use this sale</t>
  </si>
  <si>
    <t>Above 3 Ac</t>
  </si>
  <si>
    <t>SQFT</t>
  </si>
  <si>
    <t>Dollars    Per Acre</t>
  </si>
  <si>
    <t>Dollars   Per SqFt</t>
  </si>
  <si>
    <t>Dermatologist Office - wanted location</t>
  </si>
  <si>
    <t xml:space="preserve">Storage - water but no sewer </t>
  </si>
  <si>
    <t>No permits pulled</t>
  </si>
  <si>
    <t>Low Traffic/City/near 46 &amp; I-75</t>
  </si>
  <si>
    <t>Low to Medium Traffic/Rural/Freeland-MBSAirport</t>
  </si>
  <si>
    <t>Medium Traffic/Outskirts of Freeland-Tittabawassee Rd</t>
  </si>
  <si>
    <t>Medium Traffic/Outskirts near SVSU &amp; Bay Rd</t>
  </si>
  <si>
    <t>Med-High Traffic/Outskirts of Freeland Tittabawassee-Midland Rd</t>
  </si>
  <si>
    <t>Low to Medium Traffic/Zilwaukee E of 75</t>
  </si>
  <si>
    <t>Med-High Traffic/Urban-btw McCarty-Shattuck</t>
  </si>
  <si>
    <t>Medium Traffic/Semi-Rural</t>
  </si>
  <si>
    <t>Medium-High Traffic/Suburban/near Bavarian Mall</t>
  </si>
  <si>
    <t>Med-High Traffic/Suburban/E of 75</t>
  </si>
  <si>
    <t>Medium-High Traffic/Outskirts of Freeland-Midland/Tittabawassee Rd</t>
  </si>
  <si>
    <t>Low Traffic/Quiet/Carrollton</t>
  </si>
  <si>
    <t>Low-Med Traffic/City</t>
  </si>
  <si>
    <t>Low-Med Traffic/Semi-Rural/Ches Township</t>
  </si>
  <si>
    <t>LowTraffic/Thomas off Gratiot Rd</t>
  </si>
  <si>
    <t>Med Traffic/Urban-btw McCarty-Shattuck</t>
  </si>
  <si>
    <t>Medium Traffic/Suburban/Corner</t>
  </si>
  <si>
    <t>Medium Traffic/Frankenmuth/off Weiss St</t>
  </si>
  <si>
    <t>Medium Traffic/Suburban/near Bavarian Mall</t>
  </si>
  <si>
    <t>Medium Traffic/Frankenmuth/off Gera</t>
  </si>
  <si>
    <t>Medium Traffic/Suburban/E Birch Run &amp; Dixie</t>
  </si>
  <si>
    <t>Med-High Traffic/Frankenmuth/W Genesee St</t>
  </si>
  <si>
    <t>Med-High Traffic/Suburban/Wieneke-State</t>
  </si>
  <si>
    <t>Med-High Traffic/Corner/E Birch Run-Dixie</t>
  </si>
  <si>
    <t>Med-HighTraffic/Frankenmuth/Near Bav Mall</t>
  </si>
  <si>
    <t>Med-High Traffic/Urban-Bay/Shattuck</t>
  </si>
  <si>
    <t>05-10-6-20-2090-000*</t>
  </si>
  <si>
    <t>Do not use for 2023 Analysis</t>
  </si>
  <si>
    <t>OTHER PARCEL IN SALE</t>
  </si>
  <si>
    <t>Unit</t>
  </si>
  <si>
    <t>Level 1   .35/sqft-depressed area</t>
  </si>
  <si>
    <t>Level 2   .79/sqft</t>
  </si>
  <si>
    <t>Level 2   .79/sqft-depressed area</t>
  </si>
  <si>
    <t>90</t>
  </si>
  <si>
    <t>05</t>
  </si>
  <si>
    <t>Level 3   1.74/sqft</t>
  </si>
  <si>
    <t>03</t>
  </si>
  <si>
    <t>23</t>
  </si>
  <si>
    <t>Level 4   3.03/sqft</t>
  </si>
  <si>
    <t>Level 5   8.21/sqft</t>
  </si>
  <si>
    <t>Level 1   12,300/ac-depressed area</t>
  </si>
  <si>
    <t>Level 1   12,300/ac</t>
  </si>
  <si>
    <t>29R</t>
  </si>
  <si>
    <t>18R</t>
  </si>
  <si>
    <t>29</t>
  </si>
  <si>
    <t>02R</t>
  </si>
  <si>
    <t>Level 2   19,100/sqft</t>
  </si>
  <si>
    <t>25</t>
  </si>
  <si>
    <t>14</t>
  </si>
  <si>
    <t>Level 3   30,700/sqft</t>
  </si>
  <si>
    <t>09</t>
  </si>
  <si>
    <t>Level 3   OUTLIER</t>
  </si>
  <si>
    <t>2022 Values</t>
  </si>
  <si>
    <t>Dollars     Per Ac</t>
  </si>
  <si>
    <t>Plan to build mini hotels (similar to airbnb)</t>
  </si>
  <si>
    <t xml:space="preserve"> New Parking lot for Dental Office</t>
  </si>
  <si>
    <t>NOT VACANT - HAD PART OF GARAGE.</t>
  </si>
  <si>
    <t>Low  Traffic/Zilwaukee E of 75</t>
  </si>
  <si>
    <t>Medium Traffic/Suburban</t>
  </si>
  <si>
    <t>Description: Commercial or industrial land in low traffic or rural areas of Saginaw County</t>
  </si>
  <si>
    <t>Aggregate</t>
  </si>
  <si>
    <t>Net Acres of Sale ROW Removed</t>
  </si>
  <si>
    <t>Dollars         Per Acre</t>
  </si>
  <si>
    <t>Dollars      Per SqFt</t>
  </si>
  <si>
    <t>Low Traffic/Outskirts of Saginaw Twp/Possible Development</t>
  </si>
  <si>
    <t>05-10-6-20-2090-000</t>
  </si>
  <si>
    <t>9075 BIRCH RUN RD</t>
  </si>
  <si>
    <t>Low Traffic/Visible from I-75</t>
  </si>
  <si>
    <t>23CI1 DEPRESSED</t>
  </si>
  <si>
    <t>AC</t>
  </si>
  <si>
    <t>23CI2 LOW DENS RURAL</t>
  </si>
  <si>
    <t>23CI3 MED DENS OUTSK</t>
  </si>
  <si>
    <t>23CI4 MED DENS DEVEL</t>
  </si>
  <si>
    <t>23CI5 HIGH DENSITY</t>
  </si>
  <si>
    <t>23CI6 PRIME</t>
  </si>
  <si>
    <t>03,05,18,22,23,28,29,90</t>
  </si>
  <si>
    <t>ALL UNITS</t>
  </si>
  <si>
    <t>ALL UNITS EXCEPT 03</t>
  </si>
  <si>
    <t>03,05,09,10,13,18,22,23,24,28,29,90</t>
  </si>
  <si>
    <t>02,09,10,11,12,30,90</t>
  </si>
  <si>
    <t>UNITS APPLIED TO:</t>
  </si>
  <si>
    <t>$/AC</t>
  </si>
  <si>
    <t>$/SQFT</t>
  </si>
  <si>
    <t>COM/IND ACREAGE TABLES FOR 2023 SAGINAW COUNTY STUDIES</t>
  </si>
  <si>
    <t>MIDLAND RD</t>
  </si>
  <si>
    <t>Med  Traffic/Midland Rd</t>
  </si>
  <si>
    <t>SQUARE FOOT ANALYSIS</t>
  </si>
  <si>
    <t>LDR</t>
  </si>
  <si>
    <t>LDS</t>
  </si>
  <si>
    <t>MD</t>
  </si>
  <si>
    <t>HD</t>
  </si>
  <si>
    <t>HDP</t>
  </si>
  <si>
    <t>ACREAGE ANALYSIS</t>
  </si>
  <si>
    <t>CIAR</t>
  </si>
  <si>
    <t>CIAS</t>
  </si>
  <si>
    <t>CIAM</t>
  </si>
  <si>
    <t>COMMERCIAL/INDUSTRIAL LAND ANALYSIS</t>
  </si>
  <si>
    <t>USING</t>
  </si>
  <si>
    <t>$/SQ FT</t>
  </si>
  <si>
    <t>Note:  Land owned by Consumers Energy as industrial property is generally priced using AG1 Agricultural land rates</t>
  </si>
  <si>
    <t>03,05,06,09,10,13,18,22,23,24,28,29,90</t>
  </si>
  <si>
    <t>$/sqft</t>
  </si>
  <si>
    <t>Spaulding Township 2023 Commercial &amp; Industrial Vacant Land Sales Analysis</t>
  </si>
  <si>
    <t xml:space="preserve">Due to a lack of Vacant Sales, Spaulding Township will combine Commercial and Industrial sales to analyze Vacant Land </t>
  </si>
  <si>
    <t>Medium Traffic/Semi-Rural/Ches Township</t>
  </si>
  <si>
    <t>Medium-High Traffic/Suburban/Corner</t>
  </si>
  <si>
    <t>Conclusion:  The calculated Aggregate Mean is 16,244 per acre.  Used 16,300 per acre.</t>
  </si>
  <si>
    <t>$16,300 per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</si>
</sst>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mm/dd/yy"/>
    <numFmt numFmtId="168" formatCode="#,##0.000_);[Red]\(#,##0.000\)"/>
    <numFmt numFmtId="169" formatCode="#,##0.0_);[Red]\(#,##0.0\)"/>
    <numFmt numFmtId="170" formatCode="#0.0_);[Red]\(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333333"/>
      <name val="Roboto"/>
    </font>
    <font>
      <sz val="10"/>
      <color rgb="FF333333"/>
      <name val="Roboto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1" applyFont="1" applyFill="1"/>
    <xf numFmtId="164" fontId="0" fillId="0" borderId="0" xfId="1" applyNumberFormat="1" applyFont="1"/>
    <xf numFmtId="164" fontId="0" fillId="0" borderId="0" xfId="1" applyNumberFormat="1" applyFont="1" applyFill="1"/>
    <xf numFmtId="165" fontId="0" fillId="0" borderId="0" xfId="1" applyNumberFormat="1" applyFont="1" applyFill="1"/>
    <xf numFmtId="165" fontId="0" fillId="0" borderId="0" xfId="0" applyNumberFormat="1"/>
    <xf numFmtId="40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4" fontId="3" fillId="2" borderId="0" xfId="0" applyNumberFormat="1" applyFon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0" applyFont="1"/>
    <xf numFmtId="14" fontId="2" fillId="0" borderId="0" xfId="0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0" fontId="2" fillId="3" borderId="0" xfId="0" applyFont="1" applyFill="1"/>
    <xf numFmtId="0" fontId="4" fillId="3" borderId="0" xfId="0" applyFont="1" applyFill="1"/>
    <xf numFmtId="0" fontId="4" fillId="0" borderId="0" xfId="0" applyFont="1"/>
    <xf numFmtId="14" fontId="4" fillId="0" borderId="0" xfId="0" applyNumberFormat="1" applyFont="1"/>
    <xf numFmtId="165" fontId="4" fillId="0" borderId="0" xfId="1" applyNumberFormat="1" applyFont="1" applyFill="1"/>
    <xf numFmtId="164" fontId="4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43" fontId="4" fillId="0" borderId="0" xfId="1" applyFont="1" applyFill="1"/>
    <xf numFmtId="43" fontId="3" fillId="2" borderId="0" xfId="1" applyFont="1" applyFill="1" applyAlignment="1">
      <alignment horizontal="center" wrapText="1"/>
    </xf>
    <xf numFmtId="43" fontId="2" fillId="0" borderId="0" xfId="1" applyFont="1" applyFill="1"/>
    <xf numFmtId="165" fontId="0" fillId="0" borderId="0" xfId="1" applyNumberFormat="1" applyFont="1" applyFill="1" applyBorder="1"/>
    <xf numFmtId="43" fontId="0" fillId="0" borderId="0" xfId="1" applyFont="1" applyFill="1" applyBorder="1"/>
    <xf numFmtId="165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43" fontId="5" fillId="0" borderId="0" xfId="1" applyFont="1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43" fontId="0" fillId="0" borderId="0" xfId="1" applyFont="1" applyBorder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/>
    <xf numFmtId="167" fontId="0" fillId="0" borderId="0" xfId="0" applyNumberFormat="1"/>
    <xf numFmtId="6" fontId="0" fillId="0" borderId="0" xfId="0" applyNumberFormat="1"/>
    <xf numFmtId="0" fontId="0" fillId="0" borderId="0" xfId="0" applyAlignment="1">
      <alignment horizontal="left"/>
    </xf>
    <xf numFmtId="40" fontId="0" fillId="0" borderId="0" xfId="0" applyNumberFormat="1"/>
    <xf numFmtId="8" fontId="0" fillId="0" borderId="0" xfId="0" applyNumberFormat="1"/>
    <xf numFmtId="167" fontId="2" fillId="0" borderId="0" xfId="0" applyNumberFormat="1" applyFont="1"/>
    <xf numFmtId="167" fontId="7" fillId="0" borderId="0" xfId="0" applyNumberFormat="1" applyFont="1"/>
    <xf numFmtId="167" fontId="8" fillId="0" borderId="0" xfId="0" applyNumberFormat="1" applyFont="1"/>
    <xf numFmtId="167" fontId="3" fillId="2" borderId="0" xfId="0" applyNumberFormat="1" applyFont="1" applyFill="1" applyAlignment="1">
      <alignment horizontal="center" wrapText="1"/>
    </xf>
    <xf numFmtId="6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8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7" fillId="0" borderId="0" xfId="0" applyNumberFormat="1" applyFont="1"/>
    <xf numFmtId="8" fontId="7" fillId="0" borderId="0" xfId="0" applyNumberFormat="1" applyFont="1"/>
    <xf numFmtId="0" fontId="7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6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68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9" fillId="0" borderId="0" xfId="0" applyNumberFormat="1" applyFont="1"/>
    <xf numFmtId="0" fontId="10" fillId="0" borderId="1" xfId="0" applyFont="1" applyBorder="1"/>
    <xf numFmtId="167" fontId="10" fillId="0" borderId="1" xfId="0" applyNumberFormat="1" applyFont="1" applyBorder="1"/>
    <xf numFmtId="6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0" fontId="10" fillId="0" borderId="1" xfId="0" applyNumberFormat="1" applyFont="1" applyBorder="1"/>
    <xf numFmtId="0" fontId="11" fillId="0" borderId="1" xfId="0" applyFont="1" applyBorder="1" applyAlignment="1">
      <alignment horizontal="left"/>
    </xf>
    <xf numFmtId="40" fontId="11" fillId="0" borderId="1" xfId="0" applyNumberFormat="1" applyFont="1" applyBorder="1"/>
    <xf numFmtId="0" fontId="10" fillId="0" borderId="2" xfId="0" applyFont="1" applyBorder="1"/>
    <xf numFmtId="167" fontId="10" fillId="0" borderId="2" xfId="0" applyNumberFormat="1" applyFont="1" applyBorder="1"/>
    <xf numFmtId="6" fontId="10" fillId="0" borderId="2" xfId="0" applyNumberFormat="1" applyFont="1" applyBorder="1"/>
    <xf numFmtId="0" fontId="10" fillId="0" borderId="2" xfId="0" applyFont="1" applyBorder="1" applyAlignment="1">
      <alignment horizontal="center"/>
    </xf>
    <xf numFmtId="6" fontId="10" fillId="0" borderId="2" xfId="0" applyNumberFormat="1" applyFont="1" applyBorder="1" applyAlignment="1">
      <alignment horizontal="left"/>
    </xf>
    <xf numFmtId="40" fontId="10" fillId="0" borderId="2" xfId="0" applyNumberFormat="1" applyFont="1" applyBorder="1"/>
    <xf numFmtId="6" fontId="10" fillId="0" borderId="2" xfId="0" applyNumberFormat="1" applyFont="1" applyBorder="1" applyAlignment="1">
      <alignment horizontal="right"/>
    </xf>
    <xf numFmtId="8" fontId="10" fillId="3" borderId="3" xfId="0" applyNumberFormat="1" applyFont="1" applyFill="1" applyBorder="1"/>
    <xf numFmtId="0" fontId="10" fillId="0" borderId="2" xfId="0" applyFont="1" applyBorder="1" applyAlignment="1">
      <alignment horizontal="left"/>
    </xf>
    <xf numFmtId="167" fontId="9" fillId="0" borderId="0" xfId="0" applyNumberFormat="1" applyFont="1" applyAlignment="1">
      <alignment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8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 wrapText="1"/>
    </xf>
    <xf numFmtId="169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8" fontId="0" fillId="0" borderId="0" xfId="0" applyNumberFormat="1"/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/>
    <xf numFmtId="167" fontId="10" fillId="0" borderId="0" xfId="0" applyNumberFormat="1" applyFont="1"/>
    <xf numFmtId="6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0" fontId="10" fillId="0" borderId="0" xfId="0" applyNumberFormat="1" applyFont="1"/>
    <xf numFmtId="6" fontId="10" fillId="0" borderId="0" xfId="0" applyNumberFormat="1" applyFont="1" applyAlignment="1">
      <alignment horizontal="right"/>
    </xf>
    <xf numFmtId="0" fontId="14" fillId="0" borderId="0" xfId="0" applyFont="1"/>
    <xf numFmtId="167" fontId="14" fillId="0" borderId="0" xfId="0" applyNumberFormat="1" applyFont="1"/>
    <xf numFmtId="6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0" fontId="14" fillId="0" borderId="0" xfId="0" applyNumberFormat="1" applyFont="1"/>
    <xf numFmtId="8" fontId="14" fillId="0" borderId="0" xfId="0" applyNumberFormat="1" applyFont="1"/>
    <xf numFmtId="8" fontId="10" fillId="0" borderId="1" xfId="0" applyNumberFormat="1" applyFont="1" applyBorder="1"/>
    <xf numFmtId="170" fontId="10" fillId="0" borderId="2" xfId="0" applyNumberFormat="1" applyFont="1" applyBorder="1"/>
    <xf numFmtId="170" fontId="10" fillId="0" borderId="2" xfId="0" applyNumberFormat="1" applyFont="1" applyBorder="1" applyAlignment="1">
      <alignment horizontal="right"/>
    </xf>
    <xf numFmtId="6" fontId="10" fillId="3" borderId="3" xfId="0" applyNumberFormat="1" applyFont="1" applyFill="1" applyBorder="1"/>
    <xf numFmtId="8" fontId="10" fillId="0" borderId="2" xfId="0" applyNumberFormat="1" applyFont="1" applyBorder="1"/>
    <xf numFmtId="6" fontId="10" fillId="0" borderId="0" xfId="0" applyNumberFormat="1" applyFont="1" applyAlignment="1">
      <alignment horizontal="left"/>
    </xf>
    <xf numFmtId="170" fontId="10" fillId="0" borderId="0" xfId="0" applyNumberFormat="1" applyFont="1"/>
    <xf numFmtId="8" fontId="10" fillId="0" borderId="0" xfId="0" applyNumberFormat="1" applyFont="1"/>
    <xf numFmtId="169" fontId="0" fillId="0" borderId="0" xfId="0" applyNumberFormat="1"/>
    <xf numFmtId="0" fontId="15" fillId="0" borderId="0" xfId="0" applyFont="1"/>
    <xf numFmtId="167" fontId="15" fillId="0" borderId="0" xfId="0" applyNumberFormat="1" applyFont="1"/>
    <xf numFmtId="6" fontId="15" fillId="0" borderId="0" xfId="0" applyNumberFormat="1" applyFont="1"/>
    <xf numFmtId="0" fontId="15" fillId="0" borderId="0" xfId="0" applyFont="1" applyAlignment="1">
      <alignment horizontal="center"/>
    </xf>
    <xf numFmtId="40" fontId="15" fillId="0" borderId="0" xfId="0" applyNumberFormat="1" applyFont="1"/>
    <xf numFmtId="8" fontId="15" fillId="0" borderId="0" xfId="0" applyNumberFormat="1" applyFont="1"/>
    <xf numFmtId="166" fontId="0" fillId="3" borderId="0" xfId="1" applyNumberFormat="1" applyFont="1" applyFill="1" applyBorder="1"/>
    <xf numFmtId="165" fontId="16" fillId="3" borderId="3" xfId="0" applyNumberFormat="1" applyFont="1" applyFill="1" applyBorder="1" applyAlignment="1">
      <alignment horizontal="center" wrapText="1"/>
    </xf>
    <xf numFmtId="165" fontId="1" fillId="0" borderId="0" xfId="1" applyNumberFormat="1" applyFont="1" applyFill="1"/>
    <xf numFmtId="167" fontId="18" fillId="0" borderId="0" xfId="0" applyNumberFormat="1" applyFont="1"/>
    <xf numFmtId="0" fontId="17" fillId="0" borderId="2" xfId="0" applyFont="1" applyBorder="1"/>
    <xf numFmtId="0" fontId="0" fillId="0" borderId="4" xfId="0" applyBorder="1"/>
    <xf numFmtId="14" fontId="0" fillId="0" borderId="4" xfId="0" applyNumberFormat="1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43" fontId="0" fillId="0" borderId="4" xfId="1" applyFont="1" applyBorder="1"/>
    <xf numFmtId="165" fontId="0" fillId="0" borderId="4" xfId="0" applyNumberFormat="1" applyBorder="1" applyAlignment="1">
      <alignment horizontal="center"/>
    </xf>
    <xf numFmtId="164" fontId="0" fillId="0" borderId="4" xfId="1" applyNumberFormat="1" applyFont="1" applyBorder="1"/>
    <xf numFmtId="49" fontId="16" fillId="4" borderId="0" xfId="0" applyNumberFormat="1" applyFont="1" applyFill="1" applyAlignment="1">
      <alignment horizontal="center" wrapText="1"/>
    </xf>
    <xf numFmtId="49" fontId="0" fillId="4" borderId="0" xfId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165" fontId="16" fillId="5" borderId="0" xfId="0" applyNumberFormat="1" applyFont="1" applyFill="1" applyAlignment="1">
      <alignment horizontal="center" wrapText="1"/>
    </xf>
    <xf numFmtId="166" fontId="0" fillId="5" borderId="0" xfId="1" applyNumberFormat="1" applyFont="1" applyFill="1" applyBorder="1"/>
    <xf numFmtId="165" fontId="16" fillId="7" borderId="0" xfId="0" applyNumberFormat="1" applyFont="1" applyFill="1" applyAlignment="1">
      <alignment horizontal="center" wrapText="1"/>
    </xf>
    <xf numFmtId="166" fontId="0" fillId="7" borderId="0" xfId="1" applyNumberFormat="1" applyFont="1" applyFill="1"/>
    <xf numFmtId="166" fontId="0" fillId="7" borderId="0" xfId="1" applyNumberFormat="1" applyFont="1" applyFill="1" applyBorder="1"/>
    <xf numFmtId="165" fontId="0" fillId="6" borderId="0" xfId="1" applyNumberFormat="1" applyFont="1" applyFill="1" applyBorder="1"/>
    <xf numFmtId="165" fontId="0" fillId="6" borderId="0" xfId="1" applyNumberFormat="1" applyFont="1" applyFill="1"/>
    <xf numFmtId="165" fontId="2" fillId="6" borderId="0" xfId="1" applyNumberFormat="1" applyFont="1" applyFill="1"/>
    <xf numFmtId="165" fontId="4" fillId="6" borderId="0" xfId="1" applyNumberFormat="1" applyFont="1" applyFill="1"/>
    <xf numFmtId="165" fontId="0" fillId="5" borderId="0" xfId="1" applyNumberFormat="1" applyFont="1" applyFill="1" applyAlignment="1">
      <alignment vertical="center"/>
    </xf>
    <xf numFmtId="14" fontId="15" fillId="0" borderId="0" xfId="0" applyNumberFormat="1" applyFont="1"/>
    <xf numFmtId="165" fontId="15" fillId="0" borderId="0" xfId="1" applyNumberFormat="1" applyFont="1" applyFill="1"/>
    <xf numFmtId="43" fontId="15" fillId="0" borderId="0" xfId="1" applyFont="1" applyFill="1"/>
    <xf numFmtId="165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/>
    <xf numFmtId="166" fontId="15" fillId="3" borderId="0" xfId="1" applyNumberFormat="1" applyFont="1" applyFill="1"/>
    <xf numFmtId="166" fontId="15" fillId="0" borderId="0" xfId="1" applyNumberFormat="1" applyFont="1" applyFill="1"/>
    <xf numFmtId="49" fontId="15" fillId="4" borderId="0" xfId="1" applyNumberFormat="1" applyFont="1" applyFill="1" applyAlignment="1">
      <alignment horizontal="center"/>
    </xf>
    <xf numFmtId="165" fontId="15" fillId="5" borderId="0" xfId="1" applyNumberFormat="1" applyFont="1" applyFill="1" applyAlignment="1">
      <alignment vertical="center"/>
    </xf>
    <xf numFmtId="166" fontId="15" fillId="7" borderId="0" xfId="1" applyNumberFormat="1" applyFont="1" applyFill="1"/>
    <xf numFmtId="164" fontId="0" fillId="3" borderId="0" xfId="1" applyNumberFormat="1" applyFont="1" applyFill="1" applyBorder="1"/>
    <xf numFmtId="166" fontId="3" fillId="2" borderId="0" xfId="0" applyNumberFormat="1" applyFont="1" applyFill="1" applyAlignment="1">
      <alignment horizontal="center" wrapText="1"/>
    </xf>
    <xf numFmtId="166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15" fillId="0" borderId="0" xfId="1" applyNumberFormat="1" applyFont="1" applyFill="1" applyAlignment="1">
      <alignment horizontal="center"/>
    </xf>
    <xf numFmtId="6" fontId="20" fillId="0" borderId="1" xfId="0" applyNumberFormat="1" applyFont="1" applyBorder="1"/>
    <xf numFmtId="40" fontId="20" fillId="0" borderId="1" xfId="0" applyNumberFormat="1" applyFont="1" applyBorder="1"/>
    <xf numFmtId="8" fontId="0" fillId="0" borderId="0" xfId="0" applyNumberFormat="1" applyAlignment="1">
      <alignment horizontal="center"/>
    </xf>
    <xf numFmtId="8" fontId="20" fillId="0" borderId="2" xfId="0" applyNumberFormat="1" applyFont="1" applyBorder="1" applyAlignment="1">
      <alignment horizontal="center"/>
    </xf>
    <xf numFmtId="166" fontId="0" fillId="3" borderId="3" xfId="1" applyNumberFormat="1" applyFon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6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0" fontId="10" fillId="0" borderId="0" xfId="0" applyNumberFormat="1" applyFont="1" applyAlignment="1">
      <alignment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2" fillId="0" borderId="1" xfId="0" applyFont="1" applyBorder="1"/>
    <xf numFmtId="6" fontId="16" fillId="0" borderId="2" xfId="0" applyNumberFormat="1" applyFont="1" applyBorder="1" applyAlignment="1">
      <alignment horizontal="right"/>
    </xf>
    <xf numFmtId="8" fontId="2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164" fontId="0" fillId="0" borderId="6" xfId="1" applyNumberFormat="1" applyFont="1" applyBorder="1"/>
    <xf numFmtId="0" fontId="0" fillId="0" borderId="7" xfId="0" applyBorder="1"/>
    <xf numFmtId="0" fontId="2" fillId="8" borderId="5" xfId="0" applyFont="1" applyFill="1" applyBorder="1"/>
    <xf numFmtId="0" fontId="2" fillId="8" borderId="6" xfId="0" applyFont="1" applyFill="1" applyBorder="1"/>
    <xf numFmtId="164" fontId="2" fillId="8" borderId="6" xfId="0" applyNumberFormat="1" applyFont="1" applyFill="1" applyBorder="1"/>
    <xf numFmtId="0" fontId="2" fillId="8" borderId="6" xfId="0" applyFont="1" applyFill="1" applyBorder="1" applyAlignment="1">
      <alignment horizontal="right"/>
    </xf>
    <xf numFmtId="0" fontId="2" fillId="8" borderId="7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4" fontId="2" fillId="4" borderId="6" xfId="0" applyNumberFormat="1" applyFont="1" applyFill="1" applyBorder="1"/>
    <xf numFmtId="0" fontId="2" fillId="4" borderId="6" xfId="0" applyFont="1" applyFill="1" applyBorder="1" applyAlignment="1">
      <alignment horizontal="right"/>
    </xf>
    <xf numFmtId="0" fontId="2" fillId="4" borderId="7" xfId="0" applyFont="1" applyFill="1" applyBorder="1"/>
    <xf numFmtId="0" fontId="2" fillId="9" borderId="5" xfId="0" applyFont="1" applyFill="1" applyBorder="1"/>
    <xf numFmtId="0" fontId="2" fillId="9" borderId="6" xfId="0" applyFont="1" applyFill="1" applyBorder="1"/>
    <xf numFmtId="164" fontId="2" fillId="9" borderId="6" xfId="0" applyNumberFormat="1" applyFont="1" applyFill="1" applyBorder="1"/>
    <xf numFmtId="0" fontId="2" fillId="9" borderId="6" xfId="0" applyFont="1" applyFill="1" applyBorder="1" applyAlignment="1">
      <alignment horizontal="right"/>
    </xf>
    <xf numFmtId="0" fontId="2" fillId="9" borderId="7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164" fontId="2" fillId="6" borderId="6" xfId="0" applyNumberFormat="1" applyFont="1" applyFill="1" applyBorder="1"/>
    <xf numFmtId="0" fontId="2" fillId="6" borderId="6" xfId="0" applyFont="1" applyFill="1" applyBorder="1" applyAlignment="1">
      <alignment horizontal="right"/>
    </xf>
    <xf numFmtId="0" fontId="2" fillId="6" borderId="7" xfId="0" applyFont="1" applyFill="1" applyBorder="1"/>
    <xf numFmtId="0" fontId="2" fillId="10" borderId="5" xfId="0" applyFont="1" applyFill="1" applyBorder="1"/>
    <xf numFmtId="0" fontId="2" fillId="10" borderId="6" xfId="0" applyFont="1" applyFill="1" applyBorder="1"/>
    <xf numFmtId="164" fontId="2" fillId="10" borderId="6" xfId="0" applyNumberFormat="1" applyFont="1" applyFill="1" applyBorder="1"/>
    <xf numFmtId="0" fontId="2" fillId="10" borderId="6" xfId="0" applyFont="1" applyFill="1" applyBorder="1" applyAlignment="1">
      <alignment horizontal="right"/>
    </xf>
    <xf numFmtId="0" fontId="2" fillId="10" borderId="7" xfId="0" applyFont="1" applyFill="1" applyBorder="1"/>
    <xf numFmtId="43" fontId="0" fillId="0" borderId="0" xfId="0" applyNumberFormat="1"/>
    <xf numFmtId="43" fontId="2" fillId="8" borderId="6" xfId="0" applyNumberFormat="1" applyFont="1" applyFill="1" applyBorder="1"/>
    <xf numFmtId="0" fontId="0" fillId="0" borderId="5" xfId="0" applyBorder="1" applyAlignment="1">
      <alignment horizontal="center"/>
    </xf>
    <xf numFmtId="43" fontId="2" fillId="3" borderId="6" xfId="0" applyNumberFormat="1" applyFont="1" applyFill="1" applyBorder="1" applyAlignment="1">
      <alignment horizontal="center"/>
    </xf>
    <xf numFmtId="43" fontId="2" fillId="4" borderId="6" xfId="0" applyNumberFormat="1" applyFont="1" applyFill="1" applyBorder="1" applyAlignment="1">
      <alignment horizontal="center"/>
    </xf>
    <xf numFmtId="43" fontId="2" fillId="9" borderId="6" xfId="0" applyNumberFormat="1" applyFont="1" applyFill="1" applyBorder="1" applyAlignment="1">
      <alignment horizontal="center"/>
    </xf>
    <xf numFmtId="43" fontId="2" fillId="6" borderId="6" xfId="0" applyNumberFormat="1" applyFont="1" applyFill="1" applyBorder="1" applyAlignment="1">
      <alignment horizontal="center"/>
    </xf>
    <xf numFmtId="43" fontId="2" fillId="10" borderId="6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0" fillId="5" borderId="2" xfId="0" applyFill="1" applyBorder="1"/>
    <xf numFmtId="0" fontId="0" fillId="0" borderId="2" xfId="0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23" fillId="3" borderId="0" xfId="0" applyFont="1" applyFill="1"/>
    <xf numFmtId="166" fontId="0" fillId="0" borderId="8" xfId="1" applyNumberFormat="1" applyFont="1" applyFill="1" applyBorder="1" applyAlignment="1">
      <alignment horizontal="center"/>
    </xf>
    <xf numFmtId="167" fontId="7" fillId="3" borderId="0" xfId="0" applyNumberFormat="1" applyFont="1" applyFill="1"/>
    <xf numFmtId="167" fontId="0" fillId="3" borderId="0" xfId="0" applyNumberFormat="1" applyFill="1"/>
    <xf numFmtId="6" fontId="0" fillId="3" borderId="0" xfId="0" applyNumberFormat="1" applyFill="1"/>
    <xf numFmtId="0" fontId="0" fillId="3" borderId="0" xfId="0" applyFill="1" applyAlignment="1">
      <alignment horizontal="left"/>
    </xf>
    <xf numFmtId="40" fontId="0" fillId="3" borderId="0" xfId="0" applyNumberFormat="1" applyFill="1"/>
    <xf numFmtId="8" fontId="0" fillId="3" borderId="0" xfId="0" applyNumberFormat="1" applyFill="1" applyAlignment="1">
      <alignment horizontal="center"/>
    </xf>
    <xf numFmtId="167" fontId="8" fillId="3" borderId="0" xfId="0" applyNumberFormat="1" applyFont="1" applyFill="1"/>
    <xf numFmtId="0" fontId="21" fillId="0" borderId="0" xfId="0" applyFont="1"/>
    <xf numFmtId="14" fontId="15" fillId="0" borderId="0" xfId="0" applyNumberFormat="1" applyFont="1" applyAlignment="1">
      <alignment horizontal="right"/>
    </xf>
    <xf numFmtId="43" fontId="1" fillId="0" borderId="0" xfId="1" applyFont="1" applyFill="1"/>
    <xf numFmtId="165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166" fontId="1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FF"/>
      <color rgb="FF66FF33"/>
      <color rgb="FFFF66FF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785F-F763-41FD-9DAE-71DB36517A42}">
  <dimension ref="A1:BQ35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RowHeight="15" x14ac:dyDescent="0.25"/>
  <cols>
    <col min="1" max="1" width="25.5703125" customWidth="1"/>
    <col min="2" max="2" width="18.140625" customWidth="1"/>
    <col min="3" max="3" width="13.7109375" style="1" customWidth="1"/>
    <col min="4" max="4" width="15" style="7" customWidth="1"/>
    <col min="5" max="5" width="8.7109375" style="38" customWidth="1"/>
    <col min="6" max="6" width="30.140625" customWidth="1"/>
    <col min="7" max="7" width="14.5703125" style="7" customWidth="1"/>
    <col min="8" max="8" width="17.7109375" style="7" customWidth="1"/>
    <col min="9" max="9" width="14.7109375" style="2" customWidth="1"/>
    <col min="10" max="10" width="11" style="7" customWidth="1"/>
    <col min="11" max="11" width="13.7109375" style="7" customWidth="1"/>
    <col min="12" max="12" width="12.140625" style="25" customWidth="1"/>
    <col min="13" max="14" width="14.7109375" style="2" customWidth="1"/>
    <col min="15" max="15" width="13.85546875" style="4" customWidth="1"/>
    <col min="16" max="16" width="9" style="4" customWidth="1"/>
    <col min="17" max="17" width="10.42578125" style="7" customWidth="1"/>
    <col min="18" max="18" width="47.28515625" style="7" customWidth="1"/>
    <col min="19" max="19" width="35.42578125" style="7" customWidth="1"/>
    <col min="20" max="20" width="26.42578125" style="7" customWidth="1"/>
    <col min="21" max="21" width="33" style="7" customWidth="1"/>
    <col min="22" max="22" width="6.28515625" style="147" customWidth="1"/>
    <col min="23" max="24" width="10.42578125" style="7" customWidth="1"/>
    <col min="25" max="25" width="10.42578125" style="1" customWidth="1"/>
    <col min="26" max="26" width="15.85546875" style="38" customWidth="1"/>
    <col min="27" max="27" width="19.28515625" customWidth="1"/>
    <col min="28" max="28" width="7.42578125" customWidth="1"/>
    <col min="29" max="29" width="6.5703125" customWidth="1"/>
    <col min="30" max="30" width="10.5703125" customWidth="1"/>
    <col min="31" max="31" width="10.140625" style="2" customWidth="1"/>
    <col min="33" max="33" width="17.140625" customWidth="1"/>
    <col min="34" max="34" width="10.85546875" customWidth="1"/>
    <col min="35" max="35" width="17.28515625" customWidth="1"/>
    <col min="36" max="36" width="12.140625" customWidth="1"/>
    <col min="37" max="37" width="13.85546875" customWidth="1"/>
    <col min="38" max="38" width="24.5703125" customWidth="1"/>
    <col min="39" max="39" width="18.7109375" customWidth="1"/>
    <col min="40" max="40" width="37.140625" customWidth="1"/>
    <col min="41" max="41" width="36.7109375" customWidth="1"/>
  </cols>
  <sheetData>
    <row r="1" spans="1:69" s="12" customFormat="1" ht="45.75" thickBot="1" x14ac:dyDescent="0.3">
      <c r="A1" s="9" t="s">
        <v>54</v>
      </c>
      <c r="B1" s="9" t="s">
        <v>55</v>
      </c>
      <c r="C1" s="10" t="s">
        <v>56</v>
      </c>
      <c r="D1" s="11" t="s">
        <v>57</v>
      </c>
      <c r="E1" s="9" t="s">
        <v>58</v>
      </c>
      <c r="F1" s="9" t="s">
        <v>59</v>
      </c>
      <c r="G1" s="11" t="s">
        <v>60</v>
      </c>
      <c r="H1" s="11" t="s">
        <v>61</v>
      </c>
      <c r="I1" s="27" t="s">
        <v>62</v>
      </c>
      <c r="J1" s="11" t="s">
        <v>63</v>
      </c>
      <c r="K1" s="11" t="s">
        <v>64</v>
      </c>
      <c r="L1" s="11" t="s">
        <v>109</v>
      </c>
      <c r="M1" s="27" t="s">
        <v>111</v>
      </c>
      <c r="N1" s="27" t="s">
        <v>112</v>
      </c>
      <c r="O1" s="8" t="s">
        <v>113</v>
      </c>
      <c r="P1" s="134" t="s">
        <v>332</v>
      </c>
      <c r="Q1" s="134" t="s">
        <v>333</v>
      </c>
      <c r="R1" s="11" t="s">
        <v>183</v>
      </c>
      <c r="S1" s="11" t="s">
        <v>176</v>
      </c>
      <c r="T1" s="11" t="s">
        <v>319</v>
      </c>
      <c r="U1" s="11" t="s">
        <v>389</v>
      </c>
      <c r="V1" s="145" t="s">
        <v>366</v>
      </c>
      <c r="W1" s="149" t="s">
        <v>390</v>
      </c>
      <c r="X1" s="151" t="s">
        <v>333</v>
      </c>
      <c r="Y1" s="10" t="s">
        <v>323</v>
      </c>
      <c r="Z1" s="9" t="s">
        <v>65</v>
      </c>
      <c r="AA1" s="9" t="s">
        <v>66</v>
      </c>
      <c r="AB1" s="9" t="s">
        <v>67</v>
      </c>
      <c r="AC1" s="9" t="s">
        <v>68</v>
      </c>
      <c r="AD1" s="9" t="s">
        <v>114</v>
      </c>
      <c r="AE1" s="27" t="s">
        <v>174</v>
      </c>
      <c r="AF1" s="9" t="s">
        <v>105</v>
      </c>
      <c r="AG1" s="9" t="s">
        <v>106</v>
      </c>
      <c r="AH1" s="9" t="s">
        <v>115</v>
      </c>
      <c r="AI1" s="9" t="s">
        <v>107</v>
      </c>
      <c r="AJ1" s="9" t="s">
        <v>116</v>
      </c>
      <c r="AK1" s="9" t="s">
        <v>117</v>
      </c>
      <c r="AL1" s="9" t="s">
        <v>108</v>
      </c>
      <c r="AM1" t="s">
        <v>118</v>
      </c>
      <c r="AN1" t="s">
        <v>119</v>
      </c>
      <c r="AO1" t="s">
        <v>120</v>
      </c>
    </row>
    <row r="2" spans="1:69" x14ac:dyDescent="0.25">
      <c r="A2" t="s">
        <v>0</v>
      </c>
      <c r="B2" t="s">
        <v>69</v>
      </c>
      <c r="C2" s="1">
        <v>44369</v>
      </c>
      <c r="D2" s="6">
        <v>317244</v>
      </c>
      <c r="E2" s="38" t="s">
        <v>70</v>
      </c>
      <c r="F2" t="s">
        <v>71</v>
      </c>
      <c r="G2" s="6">
        <v>317244</v>
      </c>
      <c r="H2" s="6">
        <v>25400</v>
      </c>
      <c r="I2" s="3">
        <f t="shared" ref="I2:I28" si="0">H2/G2*100</f>
        <v>8.0064555988450525</v>
      </c>
      <c r="J2" s="6">
        <v>0</v>
      </c>
      <c r="K2" s="6">
        <f t="shared" ref="K2:K30" si="1">G2-0</f>
        <v>317244</v>
      </c>
      <c r="L2" s="31" t="s">
        <v>330</v>
      </c>
      <c r="M2" s="3">
        <v>22.89</v>
      </c>
      <c r="N2" s="3">
        <v>26.83</v>
      </c>
      <c r="O2" s="5">
        <v>0</v>
      </c>
      <c r="P2" s="169">
        <f t="shared" ref="P2:P7" si="2">K2/M2</f>
        <v>13859.501965923984</v>
      </c>
      <c r="Q2" s="133">
        <f t="shared" ref="Q2:Q7" si="3">K2/(M2*43560)</f>
        <v>0.31817038489265342</v>
      </c>
      <c r="R2" s="6" t="s">
        <v>342</v>
      </c>
      <c r="S2" s="6" t="s">
        <v>336</v>
      </c>
      <c r="T2" s="43" t="s">
        <v>289</v>
      </c>
      <c r="U2" s="29" t="s">
        <v>377</v>
      </c>
      <c r="V2" s="146" t="s">
        <v>382</v>
      </c>
      <c r="W2" s="155">
        <v>13859.501965923984</v>
      </c>
      <c r="X2" s="150">
        <f>W2/43560</f>
        <v>0.31817038489265342</v>
      </c>
      <c r="Y2" s="1">
        <v>45154</v>
      </c>
      <c r="Z2" s="38">
        <v>2021022483</v>
      </c>
      <c r="AB2" t="s">
        <v>1</v>
      </c>
      <c r="AC2" t="s">
        <v>72</v>
      </c>
      <c r="AD2">
        <v>26.83</v>
      </c>
      <c r="AE2" s="3">
        <v>22.89</v>
      </c>
      <c r="AF2">
        <v>100</v>
      </c>
      <c r="AH2">
        <v>3.94</v>
      </c>
      <c r="AI2" t="s">
        <v>2</v>
      </c>
      <c r="AJ2">
        <v>0</v>
      </c>
      <c r="AK2">
        <v>100</v>
      </c>
      <c r="AM2" t="s">
        <v>121</v>
      </c>
      <c r="AN2" t="s">
        <v>122</v>
      </c>
      <c r="AO2" t="s">
        <v>123</v>
      </c>
    </row>
    <row r="3" spans="1:69" s="14" customFormat="1" x14ac:dyDescent="0.25">
      <c r="A3" t="s">
        <v>3</v>
      </c>
      <c r="B3" t="s">
        <v>73</v>
      </c>
      <c r="C3" s="1">
        <v>44308</v>
      </c>
      <c r="D3" s="6">
        <v>160000</v>
      </c>
      <c r="E3" s="38" t="s">
        <v>70</v>
      </c>
      <c r="F3" t="s">
        <v>71</v>
      </c>
      <c r="G3" s="6">
        <v>160000</v>
      </c>
      <c r="H3" s="6">
        <v>94400</v>
      </c>
      <c r="I3" s="3">
        <f t="shared" si="0"/>
        <v>59</v>
      </c>
      <c r="J3" s="6">
        <v>0</v>
      </c>
      <c r="K3" s="6">
        <f t="shared" si="1"/>
        <v>160000</v>
      </c>
      <c r="L3" s="24" t="s">
        <v>331</v>
      </c>
      <c r="M3" s="3">
        <v>1.522</v>
      </c>
      <c r="N3" s="3">
        <v>1.522</v>
      </c>
      <c r="O3" s="5">
        <v>66308</v>
      </c>
      <c r="P3" s="169">
        <f t="shared" si="2"/>
        <v>105124.83574244415</v>
      </c>
      <c r="Q3" s="133">
        <f t="shared" si="3"/>
        <v>2.4133341538669453</v>
      </c>
      <c r="R3" s="135" t="s">
        <v>355</v>
      </c>
      <c r="S3" s="35" t="s">
        <v>179</v>
      </c>
      <c r="T3" s="43" t="s">
        <v>321</v>
      </c>
      <c r="U3" s="48" t="s">
        <v>372</v>
      </c>
      <c r="V3" s="146" t="s">
        <v>373</v>
      </c>
      <c r="W3" s="158">
        <f>X3*43560</f>
        <v>105109.48905109489</v>
      </c>
      <c r="X3" s="152">
        <v>2.4129818423116367</v>
      </c>
      <c r="Y3" s="1">
        <v>45154</v>
      </c>
      <c r="Z3" s="38">
        <v>2021017150</v>
      </c>
      <c r="AA3"/>
      <c r="AB3" t="s">
        <v>1</v>
      </c>
      <c r="AC3" t="s">
        <v>74</v>
      </c>
      <c r="AD3">
        <v>1.522</v>
      </c>
      <c r="AE3" s="3">
        <v>0</v>
      </c>
      <c r="AF3">
        <v>100</v>
      </c>
      <c r="AG3"/>
      <c r="AH3">
        <v>0</v>
      </c>
      <c r="AI3" t="s">
        <v>4</v>
      </c>
      <c r="AJ3">
        <v>66308</v>
      </c>
      <c r="AK3">
        <v>100</v>
      </c>
      <c r="AL3"/>
      <c r="AM3" t="s">
        <v>121</v>
      </c>
      <c r="AN3" t="s">
        <v>124</v>
      </c>
      <c r="AO3" t="s">
        <v>125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 s="20"/>
    </row>
    <row r="4" spans="1:69" x14ac:dyDescent="0.25">
      <c r="A4" t="s">
        <v>7</v>
      </c>
      <c r="B4" t="s">
        <v>76</v>
      </c>
      <c r="C4" s="1">
        <v>44393</v>
      </c>
      <c r="D4" s="6">
        <v>39900</v>
      </c>
      <c r="E4" s="38" t="s">
        <v>70</v>
      </c>
      <c r="F4" t="s">
        <v>71</v>
      </c>
      <c r="G4" s="6">
        <v>39900</v>
      </c>
      <c r="H4" s="6">
        <v>10700</v>
      </c>
      <c r="I4" s="3">
        <f t="shared" si="0"/>
        <v>26.817042606516289</v>
      </c>
      <c r="J4" s="6">
        <v>0</v>
      </c>
      <c r="K4" s="6">
        <f t="shared" si="1"/>
        <v>39900</v>
      </c>
      <c r="L4" s="24" t="s">
        <v>331</v>
      </c>
      <c r="M4" s="3">
        <v>0.17399999999999999</v>
      </c>
      <c r="N4" s="3">
        <v>0.17399999999999999</v>
      </c>
      <c r="O4" s="5">
        <v>7600</v>
      </c>
      <c r="P4" s="169">
        <f t="shared" si="2"/>
        <v>229310.34482758623</v>
      </c>
      <c r="Q4" s="133">
        <f t="shared" si="3"/>
        <v>5.2642411576580859</v>
      </c>
      <c r="R4" s="34" t="s">
        <v>358</v>
      </c>
      <c r="S4" s="34" t="s">
        <v>188</v>
      </c>
      <c r="T4" s="43" t="s">
        <v>262</v>
      </c>
      <c r="U4" s="43" t="s">
        <v>375</v>
      </c>
      <c r="V4" s="146" t="s">
        <v>373</v>
      </c>
      <c r="W4" s="158">
        <f>X4*43560</f>
        <v>228690</v>
      </c>
      <c r="X4" s="152">
        <v>5.25</v>
      </c>
      <c r="Y4" s="1">
        <v>45154</v>
      </c>
      <c r="Z4" s="38">
        <v>2021024849</v>
      </c>
      <c r="AB4" t="s">
        <v>1</v>
      </c>
      <c r="AC4" t="s">
        <v>77</v>
      </c>
      <c r="AD4">
        <v>0.17399999999999999</v>
      </c>
      <c r="AE4" s="3">
        <v>0</v>
      </c>
      <c r="AF4">
        <v>100</v>
      </c>
      <c r="AH4">
        <v>0</v>
      </c>
      <c r="AI4" t="s">
        <v>4</v>
      </c>
      <c r="AJ4">
        <v>7600</v>
      </c>
      <c r="AK4">
        <v>100</v>
      </c>
      <c r="AM4" t="s">
        <v>121</v>
      </c>
      <c r="AN4" t="s">
        <v>127</v>
      </c>
      <c r="AO4" t="s">
        <v>128</v>
      </c>
    </row>
    <row r="5" spans="1:69" x14ac:dyDescent="0.25">
      <c r="A5" t="s">
        <v>8</v>
      </c>
      <c r="B5" t="s">
        <v>78</v>
      </c>
      <c r="C5" s="1">
        <v>44468</v>
      </c>
      <c r="D5" s="6">
        <v>84837</v>
      </c>
      <c r="E5" s="38" t="s">
        <v>70</v>
      </c>
      <c r="F5" t="s">
        <v>71</v>
      </c>
      <c r="G5" s="6">
        <v>84837</v>
      </c>
      <c r="H5" s="6">
        <v>0</v>
      </c>
      <c r="I5" s="3">
        <f t="shared" si="0"/>
        <v>0</v>
      </c>
      <c r="J5" s="6">
        <v>0</v>
      </c>
      <c r="K5" s="6">
        <f t="shared" si="1"/>
        <v>84837</v>
      </c>
      <c r="L5" s="24" t="s">
        <v>331</v>
      </c>
      <c r="M5" s="3">
        <v>0.92200000000000004</v>
      </c>
      <c r="N5" s="3">
        <v>0.92200000000000004</v>
      </c>
      <c r="O5" s="5">
        <v>29620.799999999999</v>
      </c>
      <c r="P5" s="169">
        <f t="shared" si="2"/>
        <v>92014.099783080252</v>
      </c>
      <c r="Q5" s="133">
        <f t="shared" si="3"/>
        <v>2.1123530712369205</v>
      </c>
      <c r="R5" s="35" t="s">
        <v>356</v>
      </c>
      <c r="S5" s="35" t="s">
        <v>392</v>
      </c>
      <c r="T5" s="35"/>
      <c r="U5" s="48" t="s">
        <v>372</v>
      </c>
      <c r="V5" s="146" t="s">
        <v>373</v>
      </c>
      <c r="W5" s="158">
        <f>X5*43560</f>
        <v>124760.29411764705</v>
      </c>
      <c r="X5" s="152">
        <v>2.8641022524712363</v>
      </c>
      <c r="Y5" s="1">
        <v>45154</v>
      </c>
      <c r="Z5" s="38">
        <v>2021033440</v>
      </c>
      <c r="AB5" t="s">
        <v>1</v>
      </c>
      <c r="AC5" t="s">
        <v>79</v>
      </c>
      <c r="AD5">
        <v>0.92200000000000004</v>
      </c>
      <c r="AE5" s="3">
        <v>0</v>
      </c>
      <c r="AF5">
        <v>100</v>
      </c>
      <c r="AH5">
        <v>0.24199999999999999</v>
      </c>
      <c r="AI5" t="s">
        <v>9</v>
      </c>
      <c r="AJ5">
        <v>29620.799999999999</v>
      </c>
      <c r="AK5">
        <v>100</v>
      </c>
      <c r="AL5" t="s">
        <v>10</v>
      </c>
      <c r="AM5" t="s">
        <v>121</v>
      </c>
      <c r="AN5" t="s">
        <v>129</v>
      </c>
      <c r="AO5" t="s">
        <v>130</v>
      </c>
      <c r="BP5" s="14"/>
    </row>
    <row r="6" spans="1:69" s="14" customFormat="1" x14ac:dyDescent="0.25">
      <c r="A6" t="s">
        <v>11</v>
      </c>
      <c r="B6" t="s">
        <v>12</v>
      </c>
      <c r="C6" s="1">
        <v>44509</v>
      </c>
      <c r="D6" s="6">
        <v>60000</v>
      </c>
      <c r="E6" s="38" t="s">
        <v>70</v>
      </c>
      <c r="F6" t="s">
        <v>71</v>
      </c>
      <c r="G6" s="6">
        <v>60000</v>
      </c>
      <c r="H6" s="6">
        <v>47500</v>
      </c>
      <c r="I6" s="3">
        <f t="shared" si="0"/>
        <v>79.166666666666657</v>
      </c>
      <c r="J6" s="6">
        <v>0</v>
      </c>
      <c r="K6" s="6">
        <f t="shared" si="1"/>
        <v>60000</v>
      </c>
      <c r="L6" s="24" t="s">
        <v>331</v>
      </c>
      <c r="M6" s="3">
        <v>0.58899999999999997</v>
      </c>
      <c r="N6" s="3">
        <v>0.58899999999999997</v>
      </c>
      <c r="O6" s="5">
        <v>25658</v>
      </c>
      <c r="P6" s="169">
        <f t="shared" si="2"/>
        <v>101867.57215619695</v>
      </c>
      <c r="Q6" s="133">
        <f t="shared" si="3"/>
        <v>2.3385576711707285</v>
      </c>
      <c r="R6" s="35" t="s">
        <v>354</v>
      </c>
      <c r="S6" s="35" t="s">
        <v>391</v>
      </c>
      <c r="T6" s="43" t="s">
        <v>321</v>
      </c>
      <c r="U6" s="48" t="s">
        <v>372</v>
      </c>
      <c r="V6" s="146" t="s">
        <v>373</v>
      </c>
      <c r="W6" s="158">
        <f>X6*43560</f>
        <v>101862.96671603399</v>
      </c>
      <c r="X6" s="152">
        <v>2.338451944812534</v>
      </c>
      <c r="Y6" s="1">
        <v>45154</v>
      </c>
      <c r="Z6" s="38">
        <v>2021036327</v>
      </c>
      <c r="AA6"/>
      <c r="AB6" t="s">
        <v>1</v>
      </c>
      <c r="AC6" t="s">
        <v>77</v>
      </c>
      <c r="AD6">
        <v>0.58899999999999997</v>
      </c>
      <c r="AE6" s="3">
        <v>0</v>
      </c>
      <c r="AF6">
        <v>100</v>
      </c>
      <c r="AG6"/>
      <c r="AH6">
        <v>0</v>
      </c>
      <c r="AI6" t="s">
        <v>4</v>
      </c>
      <c r="AJ6">
        <v>25658</v>
      </c>
      <c r="AK6">
        <v>100</v>
      </c>
      <c r="AL6"/>
      <c r="AM6" t="s">
        <v>121</v>
      </c>
      <c r="AN6" t="s">
        <v>131</v>
      </c>
      <c r="AO6" t="s">
        <v>132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20" customFormat="1" x14ac:dyDescent="0.25">
      <c r="A7" s="14" t="s">
        <v>13</v>
      </c>
      <c r="B7" s="14" t="s">
        <v>80</v>
      </c>
      <c r="C7" s="15">
        <v>44551</v>
      </c>
      <c r="D7" s="16">
        <v>155000</v>
      </c>
      <c r="E7" s="39" t="s">
        <v>70</v>
      </c>
      <c r="F7" s="14" t="s">
        <v>81</v>
      </c>
      <c r="G7" s="16">
        <v>155000</v>
      </c>
      <c r="H7" s="16">
        <v>77000</v>
      </c>
      <c r="I7" s="28">
        <f t="shared" si="0"/>
        <v>49.677419354838712</v>
      </c>
      <c r="J7" s="16">
        <v>0</v>
      </c>
      <c r="K7" s="16">
        <f t="shared" si="1"/>
        <v>155000</v>
      </c>
      <c r="L7" s="24" t="s">
        <v>331</v>
      </c>
      <c r="M7" s="33">
        <f>(AJ7+AJ10)/43560</f>
        <v>3.0559917355371899</v>
      </c>
      <c r="N7" s="33">
        <f>AD7+AD10</f>
        <v>3.99</v>
      </c>
      <c r="O7" s="17">
        <v>83025</v>
      </c>
      <c r="P7" s="169">
        <f t="shared" si="2"/>
        <v>50720.032452166859</v>
      </c>
      <c r="Q7" s="133">
        <f t="shared" si="3"/>
        <v>1.16437172755204</v>
      </c>
      <c r="R7" s="34" t="s">
        <v>353</v>
      </c>
      <c r="S7" s="34" t="s">
        <v>182</v>
      </c>
      <c r="T7" s="34" t="s">
        <v>320</v>
      </c>
      <c r="U7" s="48" t="s">
        <v>368</v>
      </c>
      <c r="V7" s="146" t="s">
        <v>371</v>
      </c>
      <c r="W7" s="158">
        <f>X7*43560</f>
        <v>81322.493224932245</v>
      </c>
      <c r="X7" s="152">
        <v>1.8669075579644685</v>
      </c>
      <c r="Y7" s="1">
        <v>45154</v>
      </c>
      <c r="Z7" s="39">
        <v>2021040392</v>
      </c>
      <c r="AA7" s="18" t="s">
        <v>15</v>
      </c>
      <c r="AB7" s="14" t="s">
        <v>1</v>
      </c>
      <c r="AC7" s="14" t="s">
        <v>77</v>
      </c>
      <c r="AD7" s="14">
        <v>2.27</v>
      </c>
      <c r="AE7" s="28">
        <v>0</v>
      </c>
      <c r="AF7" s="14">
        <v>100</v>
      </c>
      <c r="AG7" s="14"/>
      <c r="AH7" s="14">
        <v>0.36399999999999999</v>
      </c>
      <c r="AI7" s="14" t="s">
        <v>9</v>
      </c>
      <c r="AJ7" s="14">
        <v>83025</v>
      </c>
      <c r="AK7" s="14">
        <v>100</v>
      </c>
      <c r="AL7" s="14" t="s">
        <v>14</v>
      </c>
      <c r="AM7" t="s">
        <v>121</v>
      </c>
      <c r="AN7" t="s">
        <v>133</v>
      </c>
      <c r="AO7" t="s">
        <v>134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/>
      <c r="BQ7"/>
    </row>
    <row r="8" spans="1:69" x14ac:dyDescent="0.25">
      <c r="A8" s="20" t="s">
        <v>15</v>
      </c>
      <c r="B8" s="20" t="s">
        <v>80</v>
      </c>
      <c r="C8" s="21" t="s">
        <v>365</v>
      </c>
      <c r="D8" s="22">
        <v>155000</v>
      </c>
      <c r="E8" s="40" t="s">
        <v>70</v>
      </c>
      <c r="F8" s="20" t="s">
        <v>81</v>
      </c>
      <c r="G8" s="22">
        <v>155000</v>
      </c>
      <c r="H8" s="22">
        <v>28600</v>
      </c>
      <c r="I8" s="26">
        <f t="shared" si="0"/>
        <v>18.451612903225804</v>
      </c>
      <c r="J8" s="22"/>
      <c r="K8" s="22">
        <f t="shared" si="1"/>
        <v>155000</v>
      </c>
      <c r="L8" s="24" t="s">
        <v>331</v>
      </c>
      <c r="M8" s="26"/>
      <c r="N8" s="26"/>
      <c r="O8" s="23"/>
      <c r="P8" s="169"/>
      <c r="Q8" s="133"/>
      <c r="R8" s="34"/>
      <c r="S8" s="34"/>
      <c r="T8" s="34"/>
      <c r="U8" s="34"/>
      <c r="V8" s="146"/>
      <c r="W8" s="158"/>
      <c r="X8" s="152"/>
      <c r="Y8" s="1">
        <v>45154</v>
      </c>
      <c r="Z8" s="40">
        <v>2021040392</v>
      </c>
      <c r="AA8" s="19" t="s">
        <v>13</v>
      </c>
      <c r="AB8" s="20" t="s">
        <v>1</v>
      </c>
      <c r="AC8" s="20" t="s">
        <v>77</v>
      </c>
      <c r="AD8" s="20">
        <v>1.1000000000000001</v>
      </c>
      <c r="AE8" s="26">
        <v>0</v>
      </c>
      <c r="AF8" s="20">
        <v>100</v>
      </c>
      <c r="AG8" s="20"/>
      <c r="AH8" s="20">
        <v>0.22700000000000001</v>
      </c>
      <c r="AI8" s="20" t="s">
        <v>9</v>
      </c>
      <c r="AJ8" s="20">
        <v>38027</v>
      </c>
      <c r="AK8" s="20">
        <v>100</v>
      </c>
      <c r="AL8" s="20" t="s">
        <v>16</v>
      </c>
      <c r="AM8" t="s">
        <v>121</v>
      </c>
      <c r="AN8" t="s">
        <v>133</v>
      </c>
      <c r="AO8" t="s">
        <v>134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</row>
    <row r="9" spans="1:69" s="20" customFormat="1" x14ac:dyDescent="0.25">
      <c r="A9" t="s">
        <v>17</v>
      </c>
      <c r="B9" t="s">
        <v>82</v>
      </c>
      <c r="C9" s="1">
        <v>44397</v>
      </c>
      <c r="D9" s="6">
        <v>175000</v>
      </c>
      <c r="E9" s="38" t="s">
        <v>70</v>
      </c>
      <c r="F9" t="s">
        <v>83</v>
      </c>
      <c r="G9" s="6">
        <v>175000</v>
      </c>
      <c r="H9" s="6">
        <v>0</v>
      </c>
      <c r="I9" s="3">
        <f t="shared" si="0"/>
        <v>0</v>
      </c>
      <c r="J9" s="6">
        <v>0</v>
      </c>
      <c r="K9" s="6">
        <f t="shared" si="1"/>
        <v>175000</v>
      </c>
      <c r="L9" s="24" t="s">
        <v>331</v>
      </c>
      <c r="M9" s="3">
        <v>1.46</v>
      </c>
      <c r="N9" s="3">
        <v>1.46</v>
      </c>
      <c r="O9" s="5">
        <v>57063</v>
      </c>
      <c r="P9" s="169">
        <f t="shared" ref="P9:P14" si="4">K9/M9</f>
        <v>119863.01369863014</v>
      </c>
      <c r="Q9" s="133">
        <f t="shared" ref="Q9:Q14" si="5">K9/(M9*43560)</f>
        <v>2.7516761638803979</v>
      </c>
      <c r="R9" s="34" t="s">
        <v>357</v>
      </c>
      <c r="S9" s="34" t="s">
        <v>178</v>
      </c>
      <c r="T9" s="34"/>
      <c r="U9" s="48" t="s">
        <v>372</v>
      </c>
      <c r="V9" s="146" t="s">
        <v>371</v>
      </c>
      <c r="W9" s="158">
        <f>X9*43560</f>
        <v>133589.19089427477</v>
      </c>
      <c r="X9" s="152">
        <v>3.0667858332018998</v>
      </c>
      <c r="Y9" s="1">
        <v>45154</v>
      </c>
      <c r="Z9" s="38">
        <v>2021026362</v>
      </c>
      <c r="AA9"/>
      <c r="AB9" t="s">
        <v>1</v>
      </c>
      <c r="AC9" t="s">
        <v>74</v>
      </c>
      <c r="AD9">
        <v>1.46</v>
      </c>
      <c r="AE9" s="3">
        <v>0</v>
      </c>
      <c r="AF9">
        <v>100</v>
      </c>
      <c r="AG9"/>
      <c r="AH9">
        <v>0.15</v>
      </c>
      <c r="AI9" t="s">
        <v>9</v>
      </c>
      <c r="AJ9">
        <v>57063</v>
      </c>
      <c r="AK9">
        <v>100</v>
      </c>
      <c r="AL9" t="s">
        <v>16</v>
      </c>
      <c r="AM9" t="s">
        <v>121</v>
      </c>
      <c r="AN9" t="s">
        <v>135</v>
      </c>
      <c r="AO9" t="s">
        <v>136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9" x14ac:dyDescent="0.25">
      <c r="A10" t="s">
        <v>18</v>
      </c>
      <c r="B10" t="s">
        <v>80</v>
      </c>
      <c r="C10" s="1">
        <v>44935</v>
      </c>
      <c r="D10" s="6">
        <v>750000</v>
      </c>
      <c r="E10" s="38" t="s">
        <v>70</v>
      </c>
      <c r="F10" t="s">
        <v>71</v>
      </c>
      <c r="G10" s="6">
        <v>750000</v>
      </c>
      <c r="H10" s="6">
        <v>97400</v>
      </c>
      <c r="I10" s="3">
        <f t="shared" si="0"/>
        <v>12.986666666666666</v>
      </c>
      <c r="J10" s="6">
        <v>0</v>
      </c>
      <c r="K10" s="6">
        <f t="shared" si="1"/>
        <v>750000</v>
      </c>
      <c r="L10" s="24" t="s">
        <v>331</v>
      </c>
      <c r="M10" s="3">
        <v>1.72</v>
      </c>
      <c r="N10" s="3">
        <v>1.72</v>
      </c>
      <c r="O10" s="5">
        <v>50094</v>
      </c>
      <c r="P10" s="169">
        <f t="shared" si="4"/>
        <v>436046.51162790699</v>
      </c>
      <c r="Q10" s="133">
        <f t="shared" si="5"/>
        <v>10.010250496508425</v>
      </c>
      <c r="R10" s="34" t="s">
        <v>360</v>
      </c>
      <c r="S10" s="34" t="s">
        <v>181</v>
      </c>
      <c r="T10" s="34"/>
      <c r="U10" s="34" t="s">
        <v>376</v>
      </c>
      <c r="V10" s="146" t="s">
        <v>371</v>
      </c>
      <c r="W10" s="158">
        <f>X10*43560</f>
        <v>652173.91304347827</v>
      </c>
      <c r="X10" s="152">
        <v>14.971852916516948</v>
      </c>
      <c r="Y10" s="1">
        <v>45154</v>
      </c>
      <c r="Z10" s="38">
        <v>2023001007</v>
      </c>
      <c r="AB10" t="s">
        <v>1</v>
      </c>
      <c r="AC10" t="s">
        <v>77</v>
      </c>
      <c r="AD10">
        <v>1.72</v>
      </c>
      <c r="AE10" s="3">
        <v>0</v>
      </c>
      <c r="AF10">
        <v>100</v>
      </c>
      <c r="AH10">
        <v>0.56999999999999995</v>
      </c>
      <c r="AI10" t="s">
        <v>9</v>
      </c>
      <c r="AJ10">
        <v>50094</v>
      </c>
      <c r="AK10">
        <v>100</v>
      </c>
      <c r="AL10" t="s">
        <v>19</v>
      </c>
      <c r="AM10" t="s">
        <v>121</v>
      </c>
      <c r="AN10" t="s">
        <v>137</v>
      </c>
      <c r="AO10" t="s">
        <v>138</v>
      </c>
      <c r="BP10" s="14"/>
    </row>
    <row r="11" spans="1:69" x14ac:dyDescent="0.25">
      <c r="A11" t="s">
        <v>20</v>
      </c>
      <c r="B11" t="s">
        <v>84</v>
      </c>
      <c r="C11" s="1">
        <v>44894</v>
      </c>
      <c r="D11" s="6">
        <v>255000</v>
      </c>
      <c r="E11" s="38" t="s">
        <v>70</v>
      </c>
      <c r="F11" t="s">
        <v>71</v>
      </c>
      <c r="G11" s="6">
        <v>255000</v>
      </c>
      <c r="H11" s="6">
        <v>8400</v>
      </c>
      <c r="I11" s="3">
        <f t="shared" si="0"/>
        <v>3.2941176470588238</v>
      </c>
      <c r="J11" s="6">
        <v>0</v>
      </c>
      <c r="K11" s="6">
        <f t="shared" si="1"/>
        <v>255000</v>
      </c>
      <c r="L11" s="31" t="s">
        <v>330</v>
      </c>
      <c r="M11" s="3">
        <v>4.08</v>
      </c>
      <c r="N11" s="3">
        <v>5.27</v>
      </c>
      <c r="O11" s="5">
        <v>0</v>
      </c>
      <c r="P11" s="169">
        <f t="shared" si="4"/>
        <v>62500</v>
      </c>
      <c r="Q11" s="133">
        <f t="shared" si="5"/>
        <v>1.4348025711662074</v>
      </c>
      <c r="R11" s="6" t="s">
        <v>346</v>
      </c>
      <c r="S11" s="6" t="s">
        <v>327</v>
      </c>
      <c r="T11" s="6"/>
      <c r="U11" s="6" t="s">
        <v>386</v>
      </c>
      <c r="V11" s="146" t="s">
        <v>387</v>
      </c>
      <c r="W11" s="155">
        <v>62500</v>
      </c>
      <c r="X11" s="150">
        <f>W11/43560</f>
        <v>1.4348025711662076</v>
      </c>
      <c r="Z11" s="38">
        <v>2022031104</v>
      </c>
      <c r="AB11" t="s">
        <v>1</v>
      </c>
      <c r="AC11" s="13" t="s">
        <v>85</v>
      </c>
      <c r="AD11">
        <v>5.27</v>
      </c>
      <c r="AE11" s="3">
        <v>4.08</v>
      </c>
      <c r="AF11">
        <v>100</v>
      </c>
      <c r="AG11" t="s">
        <v>21</v>
      </c>
      <c r="AH11">
        <v>1.19</v>
      </c>
      <c r="AI11" t="s">
        <v>9</v>
      </c>
      <c r="AJ11">
        <v>0</v>
      </c>
      <c r="AK11">
        <v>100</v>
      </c>
      <c r="AM11" t="s">
        <v>121</v>
      </c>
      <c r="AN11" t="s">
        <v>139</v>
      </c>
      <c r="AO11" t="s">
        <v>140</v>
      </c>
    </row>
    <row r="12" spans="1:69" x14ac:dyDescent="0.25">
      <c r="A12" t="s">
        <v>22</v>
      </c>
      <c r="B12" t="s">
        <v>86</v>
      </c>
      <c r="C12" s="1">
        <v>44770</v>
      </c>
      <c r="D12" s="6">
        <v>30000</v>
      </c>
      <c r="E12" s="38" t="s">
        <v>87</v>
      </c>
      <c r="F12" t="s">
        <v>71</v>
      </c>
      <c r="G12" s="6">
        <v>30000</v>
      </c>
      <c r="H12" s="6">
        <v>18300</v>
      </c>
      <c r="I12" s="3">
        <f t="shared" si="0"/>
        <v>61</v>
      </c>
      <c r="J12" s="6">
        <v>0</v>
      </c>
      <c r="K12" s="6">
        <f t="shared" si="1"/>
        <v>30000</v>
      </c>
      <c r="L12" s="24" t="s">
        <v>331</v>
      </c>
      <c r="M12" s="3">
        <v>2.46</v>
      </c>
      <c r="N12" s="3">
        <v>2.46</v>
      </c>
      <c r="O12" s="5">
        <v>99316</v>
      </c>
      <c r="P12" s="169">
        <f t="shared" si="4"/>
        <v>12195.121951219513</v>
      </c>
      <c r="Q12" s="133">
        <f t="shared" si="5"/>
        <v>0.27996147730072346</v>
      </c>
      <c r="R12" s="34" t="s">
        <v>348</v>
      </c>
      <c r="S12" s="34" t="s">
        <v>184</v>
      </c>
      <c r="T12" s="34"/>
      <c r="U12" s="48" t="s">
        <v>367</v>
      </c>
      <c r="V12" s="146">
        <v>11</v>
      </c>
      <c r="W12" s="158">
        <f>X12*43560</f>
        <v>13158.000724958716</v>
      </c>
      <c r="X12" s="152">
        <v>0.30206613234524143</v>
      </c>
      <c r="Y12" s="1">
        <v>45154</v>
      </c>
      <c r="Z12" s="38">
        <v>2022023570</v>
      </c>
      <c r="AB12" t="s">
        <v>1</v>
      </c>
      <c r="AC12" t="s">
        <v>77</v>
      </c>
      <c r="AD12">
        <v>2.46</v>
      </c>
      <c r="AE12" s="3">
        <v>0</v>
      </c>
      <c r="AF12">
        <v>100</v>
      </c>
      <c r="AH12">
        <v>0.18</v>
      </c>
      <c r="AI12" t="s">
        <v>9</v>
      </c>
      <c r="AJ12">
        <v>99316</v>
      </c>
      <c r="AK12">
        <v>100</v>
      </c>
      <c r="AL12" t="s">
        <v>23</v>
      </c>
      <c r="AM12" t="s">
        <v>121</v>
      </c>
      <c r="AN12" t="s">
        <v>141</v>
      </c>
      <c r="AO12" t="s">
        <v>142</v>
      </c>
    </row>
    <row r="13" spans="1:69" x14ac:dyDescent="0.25">
      <c r="A13" t="s">
        <v>24</v>
      </c>
      <c r="B13" t="s">
        <v>88</v>
      </c>
      <c r="C13" s="1">
        <v>44440</v>
      </c>
      <c r="D13" s="6">
        <v>39000</v>
      </c>
      <c r="E13" s="38" t="s">
        <v>70</v>
      </c>
      <c r="F13" t="s">
        <v>71</v>
      </c>
      <c r="G13" s="6">
        <v>39000</v>
      </c>
      <c r="H13" s="6">
        <v>7500</v>
      </c>
      <c r="I13" s="3">
        <f t="shared" si="0"/>
        <v>19.230769230769234</v>
      </c>
      <c r="J13" s="6">
        <v>0</v>
      </c>
      <c r="K13" s="6">
        <f t="shared" si="1"/>
        <v>39000</v>
      </c>
      <c r="L13" s="24" t="s">
        <v>331</v>
      </c>
      <c r="M13" s="3">
        <v>1.04</v>
      </c>
      <c r="N13" s="3">
        <v>1.04</v>
      </c>
      <c r="O13" s="5">
        <v>45302</v>
      </c>
      <c r="P13" s="169">
        <f t="shared" si="4"/>
        <v>37500</v>
      </c>
      <c r="Q13" s="133">
        <f t="shared" si="5"/>
        <v>0.8608815426997245</v>
      </c>
      <c r="R13" s="34" t="s">
        <v>350</v>
      </c>
      <c r="S13" s="34" t="s">
        <v>328</v>
      </c>
      <c r="T13" s="34"/>
      <c r="U13" s="48" t="s">
        <v>368</v>
      </c>
      <c r="V13" s="146">
        <v>13</v>
      </c>
      <c r="W13" s="158">
        <f>X13*43560</f>
        <v>37500.33111120922</v>
      </c>
      <c r="X13" s="152">
        <v>0.86088914396715377</v>
      </c>
      <c r="Y13" s="1">
        <v>45154</v>
      </c>
      <c r="Z13" s="38">
        <v>2021029685</v>
      </c>
      <c r="AB13" t="s">
        <v>1</v>
      </c>
      <c r="AC13" t="s">
        <v>74</v>
      </c>
      <c r="AD13">
        <v>1.04</v>
      </c>
      <c r="AE13" s="3">
        <v>0</v>
      </c>
      <c r="AF13">
        <v>100</v>
      </c>
      <c r="AH13">
        <v>0</v>
      </c>
      <c r="AI13" t="s">
        <v>4</v>
      </c>
      <c r="AJ13">
        <v>45302</v>
      </c>
      <c r="AK13">
        <v>100</v>
      </c>
      <c r="AL13" t="s">
        <v>25</v>
      </c>
      <c r="AM13" t="s">
        <v>121</v>
      </c>
      <c r="AN13" t="s">
        <v>143</v>
      </c>
      <c r="AO13" t="s">
        <v>144</v>
      </c>
      <c r="BP13" s="20"/>
    </row>
    <row r="14" spans="1:69" x14ac:dyDescent="0.25">
      <c r="A14" s="14" t="s">
        <v>26</v>
      </c>
      <c r="B14" s="14" t="s">
        <v>89</v>
      </c>
      <c r="C14" s="15">
        <v>44376</v>
      </c>
      <c r="D14" s="16">
        <v>1027320</v>
      </c>
      <c r="E14" s="39" t="s">
        <v>70</v>
      </c>
      <c r="F14" s="14" t="s">
        <v>81</v>
      </c>
      <c r="G14" s="16">
        <v>1027320</v>
      </c>
      <c r="H14" s="16">
        <v>266500</v>
      </c>
      <c r="I14" s="28">
        <f t="shared" si="0"/>
        <v>25.941284117898999</v>
      </c>
      <c r="J14" s="16">
        <v>0</v>
      </c>
      <c r="K14" s="16">
        <f t="shared" si="1"/>
        <v>1027320</v>
      </c>
      <c r="L14" s="31" t="s">
        <v>330</v>
      </c>
      <c r="M14" s="33">
        <f>AE14+AD17</f>
        <v>36.352000000000004</v>
      </c>
      <c r="N14" s="33">
        <f>AD14+AD17</f>
        <v>37.53</v>
      </c>
      <c r="O14" s="17">
        <v>0</v>
      </c>
      <c r="P14" s="169">
        <f t="shared" si="4"/>
        <v>28260.343309859152</v>
      </c>
      <c r="Q14" s="133">
        <f t="shared" si="5"/>
        <v>0.64876821188841027</v>
      </c>
      <c r="R14" s="16" t="s">
        <v>345</v>
      </c>
      <c r="S14" s="16" t="s">
        <v>180</v>
      </c>
      <c r="T14" s="16"/>
      <c r="U14" s="6" t="s">
        <v>383</v>
      </c>
      <c r="V14" s="146" t="s">
        <v>385</v>
      </c>
      <c r="W14" s="156">
        <v>25624.064651302007</v>
      </c>
      <c r="X14" s="150">
        <f>W14/43560</f>
        <v>0.588247581526676</v>
      </c>
      <c r="Y14" s="1">
        <v>45154</v>
      </c>
      <c r="Z14" s="39">
        <v>2021023568</v>
      </c>
      <c r="AA14" s="18" t="s">
        <v>28</v>
      </c>
      <c r="AB14" s="14" t="s">
        <v>1</v>
      </c>
      <c r="AC14" s="14" t="s">
        <v>77</v>
      </c>
      <c r="AD14" s="14">
        <v>36</v>
      </c>
      <c r="AE14" s="28">
        <v>34.822000000000003</v>
      </c>
      <c r="AF14" s="14">
        <v>100</v>
      </c>
      <c r="AG14" s="14" t="s">
        <v>27</v>
      </c>
      <c r="AH14" s="14">
        <v>1.1779999999999999</v>
      </c>
      <c r="AI14" s="14" t="s">
        <v>9</v>
      </c>
      <c r="AJ14" s="14">
        <v>0</v>
      </c>
      <c r="AK14" s="14">
        <v>100</v>
      </c>
      <c r="AL14" s="14"/>
      <c r="AM14" t="s">
        <v>121</v>
      </c>
      <c r="AN14" s="13" t="s">
        <v>145</v>
      </c>
      <c r="AO14" t="s">
        <v>146</v>
      </c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69" x14ac:dyDescent="0.25">
      <c r="A15" s="20" t="s">
        <v>28</v>
      </c>
      <c r="B15" s="20" t="s">
        <v>89</v>
      </c>
      <c r="C15" s="21" t="s">
        <v>365</v>
      </c>
      <c r="D15" s="22">
        <v>1027320</v>
      </c>
      <c r="E15" s="40" t="s">
        <v>70</v>
      </c>
      <c r="F15" s="20" t="s">
        <v>81</v>
      </c>
      <c r="G15" s="22">
        <v>1027320</v>
      </c>
      <c r="H15" s="22">
        <v>4700</v>
      </c>
      <c r="I15" s="26">
        <f t="shared" si="0"/>
        <v>0.45750107074718682</v>
      </c>
      <c r="J15" s="22">
        <v>0</v>
      </c>
      <c r="K15" s="22">
        <f t="shared" si="1"/>
        <v>1027320</v>
      </c>
      <c r="L15" s="31" t="s">
        <v>330</v>
      </c>
      <c r="M15" s="26"/>
      <c r="N15" s="26"/>
      <c r="O15" s="23"/>
      <c r="P15" s="169"/>
      <c r="Q15" s="133"/>
      <c r="R15" s="22"/>
      <c r="S15" s="22"/>
      <c r="T15" s="22"/>
      <c r="U15" s="22"/>
      <c r="V15" s="146"/>
      <c r="W15" s="157"/>
      <c r="X15" s="150"/>
      <c r="Y15" s="1">
        <v>45154</v>
      </c>
      <c r="Z15" s="40">
        <v>2021023568</v>
      </c>
      <c r="AA15" s="19" t="s">
        <v>26</v>
      </c>
      <c r="AB15" s="20" t="s">
        <v>1</v>
      </c>
      <c r="AC15" s="20" t="s">
        <v>77</v>
      </c>
      <c r="AD15" s="20">
        <v>0.69</v>
      </c>
      <c r="AE15" s="26">
        <v>0</v>
      </c>
      <c r="AF15" s="20">
        <v>100</v>
      </c>
      <c r="AG15" s="20"/>
      <c r="AH15" s="20">
        <v>0</v>
      </c>
      <c r="AI15" s="20" t="s">
        <v>29</v>
      </c>
      <c r="AJ15" s="20">
        <v>30056.400000000001</v>
      </c>
      <c r="AK15" s="20">
        <v>100</v>
      </c>
      <c r="AL15" s="20"/>
      <c r="AM15" t="s">
        <v>121</v>
      </c>
      <c r="AN15" s="13" t="s">
        <v>145</v>
      </c>
      <c r="AO15" t="s">
        <v>146</v>
      </c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</row>
    <row r="16" spans="1:69" x14ac:dyDescent="0.25">
      <c r="A16" t="s">
        <v>30</v>
      </c>
      <c r="B16" t="s">
        <v>90</v>
      </c>
      <c r="C16" s="1">
        <v>44357</v>
      </c>
      <c r="D16" s="6">
        <v>100000</v>
      </c>
      <c r="E16" s="38" t="s">
        <v>70</v>
      </c>
      <c r="F16" t="s">
        <v>71</v>
      </c>
      <c r="G16" s="6">
        <v>100000</v>
      </c>
      <c r="H16" s="6">
        <v>137400</v>
      </c>
      <c r="I16" s="3">
        <f t="shared" si="0"/>
        <v>137.4</v>
      </c>
      <c r="J16" s="6">
        <v>0</v>
      </c>
      <c r="K16" s="6">
        <f t="shared" si="1"/>
        <v>100000</v>
      </c>
      <c r="L16" s="31" t="s">
        <v>330</v>
      </c>
      <c r="M16" s="3">
        <v>9.25</v>
      </c>
      <c r="N16" s="3">
        <v>10.5</v>
      </c>
      <c r="O16" s="5">
        <v>0</v>
      </c>
      <c r="P16" s="169">
        <f>K16/M16</f>
        <v>10810.81081081081</v>
      </c>
      <c r="Q16" s="133">
        <f>K16/(M16*43560)</f>
        <v>0.24818206636388454</v>
      </c>
      <c r="R16" s="6" t="s">
        <v>340</v>
      </c>
      <c r="S16" s="6"/>
      <c r="T16" s="6"/>
      <c r="U16" s="29" t="s">
        <v>378</v>
      </c>
      <c r="V16" s="146" t="s">
        <v>380</v>
      </c>
      <c r="W16" s="155">
        <v>10810.81081081081</v>
      </c>
      <c r="X16" s="150">
        <f>W16/43560</f>
        <v>0.24818206636388451</v>
      </c>
      <c r="Y16" s="1">
        <v>45154</v>
      </c>
      <c r="Z16" s="38">
        <v>2021021814</v>
      </c>
      <c r="AB16" t="s">
        <v>1</v>
      </c>
      <c r="AC16" s="13" t="s">
        <v>91</v>
      </c>
      <c r="AD16">
        <v>10.5</v>
      </c>
      <c r="AE16" s="3">
        <v>9.25</v>
      </c>
      <c r="AF16">
        <v>100</v>
      </c>
      <c r="AG16" t="s">
        <v>31</v>
      </c>
      <c r="AH16">
        <v>1.25</v>
      </c>
      <c r="AI16" t="s">
        <v>32</v>
      </c>
      <c r="AJ16">
        <v>0</v>
      </c>
      <c r="AK16">
        <v>100</v>
      </c>
      <c r="AM16" t="s">
        <v>121</v>
      </c>
      <c r="AN16" t="s">
        <v>147</v>
      </c>
      <c r="AO16" t="s">
        <v>148</v>
      </c>
      <c r="BQ16" s="14"/>
    </row>
    <row r="17" spans="1:69" x14ac:dyDescent="0.25">
      <c r="A17" t="s">
        <v>33</v>
      </c>
      <c r="B17" t="s">
        <v>92</v>
      </c>
      <c r="C17" s="1">
        <v>44362</v>
      </c>
      <c r="D17" s="6">
        <v>175000</v>
      </c>
      <c r="E17" s="38" t="s">
        <v>70</v>
      </c>
      <c r="F17" t="s">
        <v>71</v>
      </c>
      <c r="G17" s="6">
        <v>175000</v>
      </c>
      <c r="H17" s="6">
        <v>114800</v>
      </c>
      <c r="I17" s="3">
        <f t="shared" si="0"/>
        <v>65.600000000000009</v>
      </c>
      <c r="J17" s="6">
        <v>0</v>
      </c>
      <c r="K17" s="6">
        <f t="shared" si="1"/>
        <v>175000</v>
      </c>
      <c r="L17" s="24" t="s">
        <v>331</v>
      </c>
      <c r="M17" s="3">
        <v>1.53</v>
      </c>
      <c r="N17" s="3">
        <v>1.53</v>
      </c>
      <c r="O17" s="5">
        <v>66646.8</v>
      </c>
      <c r="P17" s="169">
        <f>K17/M17</f>
        <v>114379.08496732026</v>
      </c>
      <c r="Q17" s="133">
        <f>K17/(M17*43560)</f>
        <v>2.6257824831799876</v>
      </c>
      <c r="R17" s="6" t="s">
        <v>175</v>
      </c>
      <c r="S17" s="6"/>
      <c r="T17" s="43" t="s">
        <v>262</v>
      </c>
      <c r="U17" s="48" t="s">
        <v>372</v>
      </c>
      <c r="V17" s="146" t="s">
        <v>374</v>
      </c>
      <c r="W17" s="158">
        <f>X17*43560</f>
        <v>114379.08496732026</v>
      </c>
      <c r="X17" s="152">
        <v>2.6257824831799876</v>
      </c>
      <c r="Y17" s="1">
        <v>45154</v>
      </c>
      <c r="Z17" s="38">
        <v>2021022028</v>
      </c>
      <c r="AB17" t="s">
        <v>1</v>
      </c>
      <c r="AC17" t="s">
        <v>77</v>
      </c>
      <c r="AD17">
        <v>1.53</v>
      </c>
      <c r="AE17" s="3">
        <v>0</v>
      </c>
      <c r="AF17">
        <v>100</v>
      </c>
      <c r="AH17">
        <v>0</v>
      </c>
      <c r="AI17" t="s">
        <v>4</v>
      </c>
      <c r="AJ17">
        <v>66646.8</v>
      </c>
      <c r="AK17">
        <v>100</v>
      </c>
      <c r="AL17" t="s">
        <v>25</v>
      </c>
      <c r="AM17" t="s">
        <v>121</v>
      </c>
      <c r="AN17" t="s">
        <v>149</v>
      </c>
      <c r="AO17" t="s">
        <v>150</v>
      </c>
      <c r="BP17" s="14"/>
      <c r="BQ17" s="14"/>
    </row>
    <row r="18" spans="1:69" x14ac:dyDescent="0.25">
      <c r="A18" s="20" t="s">
        <v>34</v>
      </c>
      <c r="B18" s="20" t="s">
        <v>93</v>
      </c>
      <c r="C18" s="21" t="s">
        <v>365</v>
      </c>
      <c r="D18" s="22">
        <v>540000</v>
      </c>
      <c r="E18" s="40" t="s">
        <v>70</v>
      </c>
      <c r="F18" s="20" t="s">
        <v>81</v>
      </c>
      <c r="G18" s="22">
        <v>540000</v>
      </c>
      <c r="H18" s="22">
        <v>38400</v>
      </c>
      <c r="I18" s="26">
        <f t="shared" si="0"/>
        <v>7.1111111111111107</v>
      </c>
      <c r="J18" s="22">
        <v>0</v>
      </c>
      <c r="K18" s="22">
        <f t="shared" si="1"/>
        <v>540000</v>
      </c>
      <c r="L18" s="31" t="s">
        <v>330</v>
      </c>
      <c r="M18" s="26"/>
      <c r="N18" s="26"/>
      <c r="O18" s="23"/>
      <c r="P18" s="169"/>
      <c r="Q18" s="133"/>
      <c r="R18" s="22"/>
      <c r="S18" s="22"/>
      <c r="T18" s="22"/>
      <c r="U18" s="22"/>
      <c r="V18" s="146"/>
      <c r="W18" s="157"/>
      <c r="X18" s="150"/>
      <c r="Y18" s="1">
        <v>45154</v>
      </c>
      <c r="Z18" s="40">
        <v>2022026129</v>
      </c>
      <c r="AA18" s="19" t="s">
        <v>36</v>
      </c>
      <c r="AB18" s="20" t="s">
        <v>1</v>
      </c>
      <c r="AC18" s="19" t="s">
        <v>85</v>
      </c>
      <c r="AD18" s="20">
        <v>2.9</v>
      </c>
      <c r="AE18" s="26">
        <v>2.65</v>
      </c>
      <c r="AF18" s="20">
        <v>100</v>
      </c>
      <c r="AG18" s="20" t="s">
        <v>35</v>
      </c>
      <c r="AH18" s="20">
        <v>0.25</v>
      </c>
      <c r="AI18" s="20" t="s">
        <v>9</v>
      </c>
      <c r="AJ18" s="20">
        <v>0</v>
      </c>
      <c r="AK18" s="20">
        <v>100</v>
      </c>
      <c r="AL18" s="20"/>
      <c r="AM18" t="s">
        <v>121</v>
      </c>
      <c r="AN18" t="s">
        <v>151</v>
      </c>
      <c r="AO18" t="s">
        <v>152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14"/>
    </row>
    <row r="19" spans="1:69" x14ac:dyDescent="0.25">
      <c r="A19" s="14" t="s">
        <v>36</v>
      </c>
      <c r="B19" s="14" t="s">
        <v>93</v>
      </c>
      <c r="C19" s="15">
        <v>44831</v>
      </c>
      <c r="D19" s="16">
        <v>540000</v>
      </c>
      <c r="E19" s="39" t="s">
        <v>70</v>
      </c>
      <c r="F19" s="14" t="s">
        <v>81</v>
      </c>
      <c r="G19" s="16">
        <v>540000</v>
      </c>
      <c r="H19" s="16">
        <v>195100</v>
      </c>
      <c r="I19" s="28">
        <f t="shared" si="0"/>
        <v>36.129629629629626</v>
      </c>
      <c r="J19" s="16">
        <v>0</v>
      </c>
      <c r="K19" s="16">
        <f t="shared" si="1"/>
        <v>540000</v>
      </c>
      <c r="L19" s="31" t="s">
        <v>330</v>
      </c>
      <c r="M19" s="33">
        <f>AE19+AE24</f>
        <v>32.372999999999998</v>
      </c>
      <c r="N19" s="33">
        <f>AD24+AD19</f>
        <v>33.29</v>
      </c>
      <c r="O19" s="17">
        <v>0</v>
      </c>
      <c r="P19" s="169">
        <f t="shared" ref="P19:P30" si="6">K19/M19</f>
        <v>16680.567139282735</v>
      </c>
      <c r="Q19" s="133">
        <f t="shared" ref="Q19:Q30" si="7">K19/(M19*43560)</f>
        <v>0.38293312991925477</v>
      </c>
      <c r="R19" s="16" t="s">
        <v>339</v>
      </c>
      <c r="S19" s="16" t="s">
        <v>185</v>
      </c>
      <c r="T19" s="16"/>
      <c r="U19" s="29" t="s">
        <v>378</v>
      </c>
      <c r="V19" s="146" t="s">
        <v>374</v>
      </c>
      <c r="W19" s="156">
        <v>10457.0100697134</v>
      </c>
      <c r="X19" s="150">
        <f>W19/43560</f>
        <v>0.24005991895577136</v>
      </c>
      <c r="Y19" s="1">
        <v>45154</v>
      </c>
      <c r="Z19" s="39">
        <v>2022026129</v>
      </c>
      <c r="AA19" s="18" t="s">
        <v>34</v>
      </c>
      <c r="AB19" s="14" t="s">
        <v>1</v>
      </c>
      <c r="AC19" s="18" t="s">
        <v>85</v>
      </c>
      <c r="AD19" s="14">
        <v>29.45</v>
      </c>
      <c r="AE19" s="28">
        <v>28.75</v>
      </c>
      <c r="AF19" s="14">
        <v>100</v>
      </c>
      <c r="AG19" s="14" t="s">
        <v>37</v>
      </c>
      <c r="AH19" s="14">
        <v>0.7</v>
      </c>
      <c r="AI19" s="14" t="s">
        <v>9</v>
      </c>
      <c r="AJ19" s="14">
        <v>0</v>
      </c>
      <c r="AK19" s="14">
        <v>100</v>
      </c>
      <c r="AL19" s="14"/>
      <c r="AM19" t="s">
        <v>121</v>
      </c>
      <c r="AN19" t="s">
        <v>151</v>
      </c>
      <c r="AO19" t="s">
        <v>152</v>
      </c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20"/>
      <c r="BQ19" s="14"/>
    </row>
    <row r="20" spans="1:69" s="14" customFormat="1" x14ac:dyDescent="0.25">
      <c r="A20" t="s">
        <v>40</v>
      </c>
      <c r="B20" t="s">
        <v>96</v>
      </c>
      <c r="C20" s="1">
        <v>44447</v>
      </c>
      <c r="D20" s="6">
        <v>39000</v>
      </c>
      <c r="E20" s="38" t="s">
        <v>70</v>
      </c>
      <c r="F20" t="s">
        <v>71</v>
      </c>
      <c r="G20" s="6">
        <v>39000</v>
      </c>
      <c r="H20" s="6">
        <v>25000</v>
      </c>
      <c r="I20" s="3">
        <f t="shared" si="0"/>
        <v>64.102564102564102</v>
      </c>
      <c r="J20" s="6">
        <v>0</v>
      </c>
      <c r="K20" s="6">
        <f t="shared" si="1"/>
        <v>39000</v>
      </c>
      <c r="L20" s="24" t="s">
        <v>331</v>
      </c>
      <c r="M20" s="3">
        <v>1.238</v>
      </c>
      <c r="N20" s="3">
        <v>1.238</v>
      </c>
      <c r="O20" s="5">
        <v>53924</v>
      </c>
      <c r="P20" s="169">
        <f t="shared" si="6"/>
        <v>31502.42326332795</v>
      </c>
      <c r="Q20" s="133">
        <f t="shared" si="7"/>
        <v>0.72319612633902541</v>
      </c>
      <c r="R20" s="6" t="s">
        <v>352</v>
      </c>
      <c r="S20" s="6"/>
      <c r="T20" s="6" t="s">
        <v>322</v>
      </c>
      <c r="U20" s="48" t="s">
        <v>368</v>
      </c>
      <c r="V20" s="146">
        <v>23</v>
      </c>
      <c r="W20" s="158">
        <f>X20*43560</f>
        <v>31504.339440694312</v>
      </c>
      <c r="X20" s="152">
        <v>0.72324011571841851</v>
      </c>
      <c r="Y20" s="1">
        <v>45154</v>
      </c>
      <c r="Z20" s="38">
        <v>2021029703</v>
      </c>
      <c r="AA20"/>
      <c r="AB20" t="s">
        <v>1</v>
      </c>
      <c r="AC20" t="s">
        <v>77</v>
      </c>
      <c r="AD20">
        <v>1.238</v>
      </c>
      <c r="AE20" s="3">
        <v>0</v>
      </c>
      <c r="AF20">
        <v>100</v>
      </c>
      <c r="AG20"/>
      <c r="AH20">
        <v>0</v>
      </c>
      <c r="AI20" t="s">
        <v>29</v>
      </c>
      <c r="AJ20">
        <v>53924</v>
      </c>
      <c r="AK20">
        <v>100</v>
      </c>
      <c r="AL20" t="s">
        <v>41</v>
      </c>
      <c r="AM20" t="s">
        <v>121</v>
      </c>
      <c r="AN20" t="s">
        <v>155</v>
      </c>
      <c r="AO20" t="s">
        <v>156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x14ac:dyDescent="0.25">
      <c r="A21" t="s">
        <v>42</v>
      </c>
      <c r="B21" t="s">
        <v>97</v>
      </c>
      <c r="C21" s="1">
        <v>44662</v>
      </c>
      <c r="D21" s="6">
        <v>105000</v>
      </c>
      <c r="E21" s="38" t="s">
        <v>70</v>
      </c>
      <c r="F21" t="s">
        <v>71</v>
      </c>
      <c r="G21" s="6">
        <v>105000</v>
      </c>
      <c r="H21" s="6">
        <v>48800</v>
      </c>
      <c r="I21" s="3">
        <f t="shared" si="0"/>
        <v>46.476190476190474</v>
      </c>
      <c r="J21" s="6">
        <v>0</v>
      </c>
      <c r="K21" s="6">
        <f t="shared" si="1"/>
        <v>105000</v>
      </c>
      <c r="L21" s="31" t="s">
        <v>330</v>
      </c>
      <c r="M21" s="3">
        <v>4.68</v>
      </c>
      <c r="N21" s="3">
        <v>4.68</v>
      </c>
      <c r="O21" s="5">
        <v>0</v>
      </c>
      <c r="P21" s="169">
        <f t="shared" si="6"/>
        <v>22435.897435897437</v>
      </c>
      <c r="Q21" s="133">
        <f t="shared" si="7"/>
        <v>0.51505733323915148</v>
      </c>
      <c r="R21" s="6" t="s">
        <v>343</v>
      </c>
      <c r="S21" s="6"/>
      <c r="T21" s="6"/>
      <c r="U21" s="6" t="s">
        <v>383</v>
      </c>
      <c r="V21" s="146" t="s">
        <v>374</v>
      </c>
      <c r="W21" s="155">
        <v>22435.897435897437</v>
      </c>
      <c r="X21" s="150">
        <f>W21/43560</f>
        <v>0.51505733323915148</v>
      </c>
      <c r="Y21" s="1">
        <v>45154</v>
      </c>
      <c r="Z21" s="38">
        <v>2022012561</v>
      </c>
      <c r="AB21" t="s">
        <v>1</v>
      </c>
      <c r="AC21" t="s">
        <v>77</v>
      </c>
      <c r="AD21">
        <v>4.68</v>
      </c>
      <c r="AE21" s="3">
        <v>4.68</v>
      </c>
      <c r="AF21">
        <v>100</v>
      </c>
      <c r="AH21">
        <v>0</v>
      </c>
      <c r="AI21" t="s">
        <v>4</v>
      </c>
      <c r="AJ21">
        <v>0</v>
      </c>
      <c r="AK21">
        <v>100</v>
      </c>
      <c r="AM21" t="s">
        <v>121</v>
      </c>
      <c r="AN21" t="s">
        <v>151</v>
      </c>
      <c r="AO21" t="s">
        <v>157</v>
      </c>
      <c r="BQ21" s="20"/>
    </row>
    <row r="22" spans="1:69" x14ac:dyDescent="0.25">
      <c r="A22" t="s">
        <v>43</v>
      </c>
      <c r="B22" t="s">
        <v>97</v>
      </c>
      <c r="C22" s="1">
        <v>44418</v>
      </c>
      <c r="D22" s="6">
        <v>96000</v>
      </c>
      <c r="E22" s="38" t="s">
        <v>70</v>
      </c>
      <c r="F22" t="s">
        <v>83</v>
      </c>
      <c r="G22" s="6">
        <v>96000</v>
      </c>
      <c r="H22" s="6">
        <v>0</v>
      </c>
      <c r="I22" s="3">
        <f t="shared" si="0"/>
        <v>0</v>
      </c>
      <c r="J22" s="6">
        <v>0</v>
      </c>
      <c r="K22" s="6">
        <f t="shared" si="1"/>
        <v>96000</v>
      </c>
      <c r="L22" s="24" t="s">
        <v>331</v>
      </c>
      <c r="M22" s="3">
        <v>2.2000000000000002</v>
      </c>
      <c r="N22" s="3">
        <v>2.2000000000000002</v>
      </c>
      <c r="O22" s="5">
        <v>95832</v>
      </c>
      <c r="P22" s="169">
        <f t="shared" si="6"/>
        <v>43636.363636363632</v>
      </c>
      <c r="Q22" s="133">
        <f t="shared" si="7"/>
        <v>1.0017530678687703</v>
      </c>
      <c r="R22" s="6" t="s">
        <v>352</v>
      </c>
      <c r="S22" s="6"/>
      <c r="T22" s="6"/>
      <c r="U22" s="48" t="s">
        <v>368</v>
      </c>
      <c r="V22" s="146">
        <v>23</v>
      </c>
      <c r="W22" s="158">
        <f>X22*43560</f>
        <v>43636.363636363632</v>
      </c>
      <c r="X22" s="152">
        <v>1.0017530678687703</v>
      </c>
      <c r="Y22" s="1">
        <v>45154</v>
      </c>
      <c r="Z22" s="38">
        <v>2021026958</v>
      </c>
      <c r="AB22" t="s">
        <v>1</v>
      </c>
      <c r="AC22" t="s">
        <v>77</v>
      </c>
      <c r="AD22">
        <v>2.2000000000000002</v>
      </c>
      <c r="AE22" s="3">
        <v>0</v>
      </c>
      <c r="AF22">
        <v>100</v>
      </c>
      <c r="AH22">
        <v>0</v>
      </c>
      <c r="AI22" t="s">
        <v>4</v>
      </c>
      <c r="AJ22">
        <v>95832</v>
      </c>
      <c r="AK22">
        <v>100</v>
      </c>
      <c r="AL22" t="s">
        <v>25</v>
      </c>
      <c r="AM22" t="s">
        <v>121</v>
      </c>
      <c r="AN22" t="s">
        <v>158</v>
      </c>
      <c r="AO22" t="s">
        <v>159</v>
      </c>
    </row>
    <row r="23" spans="1:69" x14ac:dyDescent="0.25">
      <c r="A23" t="s">
        <v>44</v>
      </c>
      <c r="B23" t="s">
        <v>98</v>
      </c>
      <c r="C23" s="1">
        <v>44915</v>
      </c>
      <c r="D23" s="6">
        <v>181500</v>
      </c>
      <c r="E23" s="38" t="s">
        <v>70</v>
      </c>
      <c r="F23" t="s">
        <v>71</v>
      </c>
      <c r="G23" s="6">
        <v>181500</v>
      </c>
      <c r="H23" s="6">
        <v>58000</v>
      </c>
      <c r="I23" s="3">
        <f t="shared" si="0"/>
        <v>31.955922865013775</v>
      </c>
      <c r="J23" s="6">
        <v>0</v>
      </c>
      <c r="K23" s="6">
        <f t="shared" si="1"/>
        <v>181500</v>
      </c>
      <c r="L23" s="24" t="s">
        <v>331</v>
      </c>
      <c r="M23" s="3">
        <v>0.95799999999999996</v>
      </c>
      <c r="N23" s="3">
        <v>0.95799999999999996</v>
      </c>
      <c r="O23" s="5">
        <v>30840</v>
      </c>
      <c r="P23" s="169">
        <f t="shared" si="6"/>
        <v>189457.2025052192</v>
      </c>
      <c r="Q23" s="133">
        <f t="shared" si="7"/>
        <v>4.3493389004871261</v>
      </c>
      <c r="R23" s="34" t="s">
        <v>359</v>
      </c>
      <c r="S23" s="34"/>
      <c r="T23" s="34"/>
      <c r="U23" s="43" t="s">
        <v>375</v>
      </c>
      <c r="V23" s="146" t="s">
        <v>374</v>
      </c>
      <c r="W23" s="158">
        <f>X23*43560</f>
        <v>256359.92217898834</v>
      </c>
      <c r="X23" s="152">
        <v>5.8852140077821016</v>
      </c>
      <c r="Y23" s="1">
        <v>45154</v>
      </c>
      <c r="Z23" s="38">
        <v>2023000275</v>
      </c>
      <c r="AB23" t="s">
        <v>1</v>
      </c>
      <c r="AC23" t="s">
        <v>77</v>
      </c>
      <c r="AD23">
        <v>0.95799999999999996</v>
      </c>
      <c r="AE23" s="3">
        <v>0</v>
      </c>
      <c r="AF23">
        <v>100</v>
      </c>
      <c r="AH23">
        <v>0.25</v>
      </c>
      <c r="AI23" t="s">
        <v>9</v>
      </c>
      <c r="AJ23">
        <v>30840</v>
      </c>
      <c r="AK23">
        <v>100</v>
      </c>
      <c r="AL23" t="s">
        <v>45</v>
      </c>
      <c r="AM23" t="s">
        <v>121</v>
      </c>
      <c r="AN23" t="s">
        <v>160</v>
      </c>
      <c r="AO23" t="s">
        <v>161</v>
      </c>
    </row>
    <row r="24" spans="1:69" x14ac:dyDescent="0.25">
      <c r="A24" t="s">
        <v>46</v>
      </c>
      <c r="B24" t="s">
        <v>99</v>
      </c>
      <c r="C24" s="1">
        <v>44636</v>
      </c>
      <c r="D24" s="6">
        <v>85000</v>
      </c>
      <c r="E24" s="38" t="s">
        <v>70</v>
      </c>
      <c r="F24" t="s">
        <v>71</v>
      </c>
      <c r="G24" s="6">
        <v>85000</v>
      </c>
      <c r="H24" s="6">
        <v>0</v>
      </c>
      <c r="I24" s="3">
        <f t="shared" si="0"/>
        <v>0</v>
      </c>
      <c r="J24" s="6">
        <v>0</v>
      </c>
      <c r="K24" s="6">
        <f t="shared" si="1"/>
        <v>85000</v>
      </c>
      <c r="L24" s="31" t="s">
        <v>330</v>
      </c>
      <c r="M24" s="3">
        <v>3.6230000000000002</v>
      </c>
      <c r="N24" s="3">
        <v>3.84</v>
      </c>
      <c r="O24" s="5">
        <v>0</v>
      </c>
      <c r="P24" s="169">
        <f t="shared" si="6"/>
        <v>23461.219983439136</v>
      </c>
      <c r="Q24" s="133">
        <f t="shared" si="7"/>
        <v>0.53859550007895174</v>
      </c>
      <c r="R24" s="6" t="s">
        <v>344</v>
      </c>
      <c r="S24" s="6" t="s">
        <v>326</v>
      </c>
      <c r="T24" s="6" t="s">
        <v>191</v>
      </c>
      <c r="U24" s="6" t="s">
        <v>383</v>
      </c>
      <c r="V24" s="146" t="s">
        <v>384</v>
      </c>
      <c r="W24" s="155">
        <v>23461.219983439136</v>
      </c>
      <c r="X24" s="150">
        <f>W24/43560</f>
        <v>0.53859550007895174</v>
      </c>
      <c r="Z24" s="38">
        <v>2022007163</v>
      </c>
      <c r="AB24" t="s">
        <v>1</v>
      </c>
      <c r="AC24" t="s">
        <v>77</v>
      </c>
      <c r="AD24">
        <v>3.84</v>
      </c>
      <c r="AE24" s="3">
        <v>3.6230000000000002</v>
      </c>
      <c r="AF24">
        <v>100</v>
      </c>
      <c r="AH24">
        <v>0.217</v>
      </c>
      <c r="AI24" t="s">
        <v>9</v>
      </c>
      <c r="AJ24">
        <v>157817</v>
      </c>
      <c r="AK24">
        <v>100</v>
      </c>
      <c r="AL24" t="s">
        <v>47</v>
      </c>
      <c r="AM24" t="s">
        <v>121</v>
      </c>
      <c r="AN24" t="s">
        <v>162</v>
      </c>
      <c r="AO24" t="s">
        <v>163</v>
      </c>
    </row>
    <row r="25" spans="1:69" x14ac:dyDescent="0.25">
      <c r="A25" t="s">
        <v>48</v>
      </c>
      <c r="B25" t="s">
        <v>100</v>
      </c>
      <c r="C25" s="1">
        <v>44867</v>
      </c>
      <c r="D25" s="29">
        <v>30000</v>
      </c>
      <c r="E25" s="38" t="s">
        <v>70</v>
      </c>
      <c r="F25" t="s">
        <v>71</v>
      </c>
      <c r="G25" s="29">
        <v>30000</v>
      </c>
      <c r="H25" s="29">
        <v>11600</v>
      </c>
      <c r="I25" s="30">
        <f t="shared" si="0"/>
        <v>38.666666666666664</v>
      </c>
      <c r="J25" s="29">
        <v>0</v>
      </c>
      <c r="K25" s="29">
        <f t="shared" si="1"/>
        <v>30000</v>
      </c>
      <c r="L25" s="24" t="s">
        <v>331</v>
      </c>
      <c r="M25" s="30">
        <v>0.9</v>
      </c>
      <c r="N25" s="30">
        <v>0.9</v>
      </c>
      <c r="O25" s="32">
        <v>32670</v>
      </c>
      <c r="P25" s="169">
        <f t="shared" si="6"/>
        <v>33333.333333333336</v>
      </c>
      <c r="Q25" s="133">
        <f t="shared" si="7"/>
        <v>0.76522803795531069</v>
      </c>
      <c r="R25" s="35" t="s">
        <v>351</v>
      </c>
      <c r="S25" s="35" t="s">
        <v>177</v>
      </c>
      <c r="T25" s="35"/>
      <c r="U25" s="48" t="s">
        <v>368</v>
      </c>
      <c r="V25" s="146">
        <v>28</v>
      </c>
      <c r="W25" s="158">
        <f>X25*43560</f>
        <v>40000</v>
      </c>
      <c r="X25" s="153">
        <v>0.91827364554637281</v>
      </c>
      <c r="Y25" s="1">
        <v>45154</v>
      </c>
      <c r="Z25" s="38">
        <v>2022029446</v>
      </c>
      <c r="AB25" t="s">
        <v>1</v>
      </c>
      <c r="AC25" s="13" t="s">
        <v>91</v>
      </c>
      <c r="AD25">
        <v>0.9</v>
      </c>
      <c r="AE25" s="30">
        <v>0</v>
      </c>
      <c r="AF25">
        <v>100</v>
      </c>
      <c r="AH25">
        <v>0.15</v>
      </c>
      <c r="AI25" t="s">
        <v>9</v>
      </c>
      <c r="AJ25">
        <v>32670</v>
      </c>
      <c r="AK25">
        <v>100</v>
      </c>
      <c r="AL25" t="s">
        <v>49</v>
      </c>
      <c r="AM25" t="s">
        <v>121</v>
      </c>
      <c r="AN25" t="s">
        <v>164</v>
      </c>
      <c r="AO25" t="s">
        <v>165</v>
      </c>
      <c r="BQ25" s="14"/>
    </row>
    <row r="26" spans="1:69" s="20" customFormat="1" x14ac:dyDescent="0.25">
      <c r="A26" t="s">
        <v>50</v>
      </c>
      <c r="B26" t="s">
        <v>101</v>
      </c>
      <c r="C26" s="1">
        <v>44314</v>
      </c>
      <c r="D26" s="6">
        <v>80000</v>
      </c>
      <c r="E26" s="38" t="s">
        <v>70</v>
      </c>
      <c r="F26" t="s">
        <v>83</v>
      </c>
      <c r="G26" s="6">
        <v>80000</v>
      </c>
      <c r="H26" s="6">
        <v>0</v>
      </c>
      <c r="I26" s="3">
        <f t="shared" si="0"/>
        <v>0</v>
      </c>
      <c r="J26" s="6">
        <v>0</v>
      </c>
      <c r="K26" s="6">
        <f t="shared" si="1"/>
        <v>80000</v>
      </c>
      <c r="L26" s="31" t="s">
        <v>330</v>
      </c>
      <c r="M26" s="3">
        <v>9.73</v>
      </c>
      <c r="N26" s="3">
        <v>9.98</v>
      </c>
      <c r="O26" s="5">
        <v>0</v>
      </c>
      <c r="P26" s="169">
        <f t="shared" si="6"/>
        <v>8221.9938335046245</v>
      </c>
      <c r="Q26" s="133">
        <f t="shared" si="7"/>
        <v>0.1887510062788022</v>
      </c>
      <c r="R26" s="6" t="s">
        <v>338</v>
      </c>
      <c r="S26" s="6" t="s">
        <v>335</v>
      </c>
      <c r="T26" s="6"/>
      <c r="U26" s="29" t="s">
        <v>378</v>
      </c>
      <c r="V26" s="146" t="s">
        <v>379</v>
      </c>
      <c r="W26" s="155">
        <v>8221.9938335046245</v>
      </c>
      <c r="X26" s="150">
        <f>W26/43560</f>
        <v>0.1887510062788022</v>
      </c>
      <c r="Y26" s="1">
        <v>45154</v>
      </c>
      <c r="Z26" s="38">
        <v>2021020638</v>
      </c>
      <c r="AA26"/>
      <c r="AB26" t="s">
        <v>1</v>
      </c>
      <c r="AC26" t="s">
        <v>74</v>
      </c>
      <c r="AD26">
        <v>9.98</v>
      </c>
      <c r="AE26" s="3">
        <v>9.73</v>
      </c>
      <c r="AF26">
        <v>100</v>
      </c>
      <c r="AG26" t="s">
        <v>21</v>
      </c>
      <c r="AH26">
        <v>0.25</v>
      </c>
      <c r="AI26" t="s">
        <v>9</v>
      </c>
      <c r="AJ26">
        <v>0</v>
      </c>
      <c r="AK26">
        <v>100</v>
      </c>
      <c r="AL26"/>
      <c r="AM26" t="s">
        <v>121</v>
      </c>
      <c r="AN26" t="s">
        <v>166</v>
      </c>
      <c r="AO26" t="s">
        <v>167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14" customFormat="1" x14ac:dyDescent="0.25">
      <c r="A27" t="s">
        <v>51</v>
      </c>
      <c r="B27" t="s">
        <v>102</v>
      </c>
      <c r="C27" s="1">
        <v>44629</v>
      </c>
      <c r="D27" s="6">
        <v>521690</v>
      </c>
      <c r="E27" s="38" t="s">
        <v>70</v>
      </c>
      <c r="F27" t="s">
        <v>71</v>
      </c>
      <c r="G27" s="6">
        <v>521690</v>
      </c>
      <c r="H27" s="6">
        <v>125200</v>
      </c>
      <c r="I27" s="3">
        <f t="shared" si="0"/>
        <v>23.998926565584927</v>
      </c>
      <c r="J27" s="6">
        <v>0</v>
      </c>
      <c r="K27" s="6">
        <f t="shared" si="1"/>
        <v>521690</v>
      </c>
      <c r="L27" s="31" t="s">
        <v>330</v>
      </c>
      <c r="M27" s="3">
        <v>38.42</v>
      </c>
      <c r="N27" s="3">
        <v>40.130000000000003</v>
      </c>
      <c r="O27" s="5">
        <v>0</v>
      </c>
      <c r="P27" s="169">
        <f t="shared" si="6"/>
        <v>13578.604893284746</v>
      </c>
      <c r="Q27" s="133">
        <f t="shared" si="7"/>
        <v>0.31172187541975999</v>
      </c>
      <c r="R27" s="6" t="s">
        <v>341</v>
      </c>
      <c r="S27" s="6"/>
      <c r="T27" s="43" t="s">
        <v>289</v>
      </c>
      <c r="U27" s="29" t="s">
        <v>378</v>
      </c>
      <c r="V27" s="146" t="s">
        <v>381</v>
      </c>
      <c r="W27" s="155">
        <v>13578.604893284746</v>
      </c>
      <c r="X27" s="150">
        <f>W27/43560</f>
        <v>0.31172187541975999</v>
      </c>
      <c r="Y27" s="1">
        <v>45154</v>
      </c>
      <c r="Z27" s="38">
        <v>2022006625</v>
      </c>
      <c r="AA27"/>
      <c r="AB27" t="s">
        <v>1</v>
      </c>
      <c r="AC27" t="s">
        <v>77</v>
      </c>
      <c r="AD27">
        <v>40.130000000000003</v>
      </c>
      <c r="AE27" s="3">
        <v>38.42</v>
      </c>
      <c r="AF27">
        <v>100</v>
      </c>
      <c r="AG27" t="s">
        <v>21</v>
      </c>
      <c r="AH27">
        <v>1.71</v>
      </c>
      <c r="AI27" t="s">
        <v>9</v>
      </c>
      <c r="AJ27">
        <v>0</v>
      </c>
      <c r="AK27">
        <v>100</v>
      </c>
      <c r="AL27"/>
      <c r="AM27" t="s">
        <v>121</v>
      </c>
      <c r="AN27" t="s">
        <v>168</v>
      </c>
      <c r="AO27" t="s">
        <v>169</v>
      </c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 s="20"/>
    </row>
    <row r="28" spans="1:69" x14ac:dyDescent="0.25">
      <c r="A28" t="s">
        <v>52</v>
      </c>
      <c r="B28" t="s">
        <v>103</v>
      </c>
      <c r="C28" s="1">
        <v>44967</v>
      </c>
      <c r="D28" s="6">
        <v>600000</v>
      </c>
      <c r="E28" s="38" t="s">
        <v>70</v>
      </c>
      <c r="F28" t="s">
        <v>71</v>
      </c>
      <c r="G28" s="6">
        <v>600000</v>
      </c>
      <c r="H28" s="6">
        <v>77500</v>
      </c>
      <c r="I28" s="3">
        <f t="shared" si="0"/>
        <v>12.916666666666668</v>
      </c>
      <c r="J28" s="6">
        <v>0</v>
      </c>
      <c r="K28" s="6">
        <f t="shared" si="1"/>
        <v>600000</v>
      </c>
      <c r="L28" s="31" t="s">
        <v>330</v>
      </c>
      <c r="M28" s="3">
        <v>4</v>
      </c>
      <c r="N28" s="3">
        <v>4</v>
      </c>
      <c r="O28" s="5">
        <v>0</v>
      </c>
      <c r="P28" s="169">
        <f t="shared" si="6"/>
        <v>150000</v>
      </c>
      <c r="Q28" s="133">
        <f t="shared" si="7"/>
        <v>3.443526170798898</v>
      </c>
      <c r="R28" s="16" t="s">
        <v>347</v>
      </c>
      <c r="S28" s="6" t="s">
        <v>334</v>
      </c>
      <c r="T28" s="6"/>
      <c r="U28" s="6" t="s">
        <v>388</v>
      </c>
      <c r="V28" s="146" t="s">
        <v>381</v>
      </c>
      <c r="W28" s="155">
        <v>150000</v>
      </c>
      <c r="X28" s="150">
        <f>W28/43560</f>
        <v>3.443526170798898</v>
      </c>
      <c r="Y28" s="1">
        <v>45154</v>
      </c>
      <c r="Z28" s="38">
        <v>2023002850</v>
      </c>
      <c r="AB28" t="s">
        <v>1</v>
      </c>
      <c r="AC28" t="s">
        <v>77</v>
      </c>
      <c r="AD28">
        <v>4</v>
      </c>
      <c r="AE28" s="3">
        <v>4</v>
      </c>
      <c r="AF28">
        <v>100</v>
      </c>
      <c r="AG28" t="s">
        <v>21</v>
      </c>
      <c r="AH28">
        <v>0</v>
      </c>
      <c r="AI28" t="s">
        <v>4</v>
      </c>
      <c r="AJ28">
        <v>0</v>
      </c>
      <c r="AK28">
        <v>100</v>
      </c>
      <c r="AM28" t="s">
        <v>121</v>
      </c>
      <c r="AN28" t="s">
        <v>170</v>
      </c>
      <c r="AO28" t="s">
        <v>171</v>
      </c>
    </row>
    <row r="29" spans="1:69" s="20" customFormat="1" x14ac:dyDescent="0.25">
      <c r="A29" t="s">
        <v>241</v>
      </c>
      <c r="B29" t="s">
        <v>242</v>
      </c>
      <c r="C29" s="1">
        <v>44510</v>
      </c>
      <c r="D29" s="6">
        <v>4391</v>
      </c>
      <c r="E29" s="38" t="s">
        <v>243</v>
      </c>
      <c r="F29" t="s">
        <v>71</v>
      </c>
      <c r="G29" s="6">
        <v>4391</v>
      </c>
      <c r="H29" s="6">
        <v>2200</v>
      </c>
      <c r="I29" s="3">
        <v>50.1</v>
      </c>
      <c r="J29" s="6">
        <v>0</v>
      </c>
      <c r="K29" s="6">
        <f t="shared" si="1"/>
        <v>4391</v>
      </c>
      <c r="L29" s="24" t="s">
        <v>331</v>
      </c>
      <c r="M29" s="3">
        <v>0.13</v>
      </c>
      <c r="N29" s="3">
        <v>0.13</v>
      </c>
      <c r="O29" s="5">
        <v>5662.8</v>
      </c>
      <c r="P29" s="169">
        <f t="shared" si="6"/>
        <v>33776.923076923078</v>
      </c>
      <c r="Q29" s="133">
        <f t="shared" si="7"/>
        <v>0.775411457229639</v>
      </c>
      <c r="R29" s="34" t="s">
        <v>349</v>
      </c>
      <c r="S29" s="34"/>
      <c r="T29" s="6" t="s">
        <v>321</v>
      </c>
      <c r="U29" s="48" t="s">
        <v>369</v>
      </c>
      <c r="V29" s="146" t="s">
        <v>370</v>
      </c>
      <c r="W29" s="158">
        <f>X29*43560</f>
        <v>33776.923076923078</v>
      </c>
      <c r="X29" s="152">
        <v>0.775411457229639</v>
      </c>
      <c r="Y29" s="1">
        <v>45154</v>
      </c>
      <c r="Z29" s="38">
        <v>2021036617</v>
      </c>
      <c r="AA29"/>
      <c r="AB29" t="s">
        <v>1</v>
      </c>
      <c r="AC29" t="s">
        <v>77</v>
      </c>
      <c r="AD29">
        <v>0.13</v>
      </c>
      <c r="AE29" s="3">
        <v>0</v>
      </c>
      <c r="AF29">
        <v>100</v>
      </c>
      <c r="AG29"/>
      <c r="AH29">
        <v>0</v>
      </c>
      <c r="AI29" t="s">
        <v>29</v>
      </c>
      <c r="AJ29">
        <v>5662.8</v>
      </c>
      <c r="AK29">
        <v>100</v>
      </c>
      <c r="AL29" t="s">
        <v>41</v>
      </c>
      <c r="AM29" t="s">
        <v>121</v>
      </c>
      <c r="AN29" t="s">
        <v>324</v>
      </c>
      <c r="AO29" t="s">
        <v>325</v>
      </c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x14ac:dyDescent="0.25">
      <c r="A30" t="s">
        <v>53</v>
      </c>
      <c r="B30" t="s">
        <v>104</v>
      </c>
      <c r="C30" s="1">
        <v>44665</v>
      </c>
      <c r="D30" s="29">
        <v>25000</v>
      </c>
      <c r="E30" s="38" t="s">
        <v>70</v>
      </c>
      <c r="F30" t="s">
        <v>71</v>
      </c>
      <c r="G30" s="29">
        <v>25000</v>
      </c>
      <c r="H30" s="29">
        <v>21100</v>
      </c>
      <c r="I30" s="30">
        <f>H30/G30*100</f>
        <v>84.399999999999991</v>
      </c>
      <c r="J30" s="29">
        <v>0</v>
      </c>
      <c r="K30" s="29">
        <f t="shared" si="1"/>
        <v>25000</v>
      </c>
      <c r="L30" s="31" t="s">
        <v>330</v>
      </c>
      <c r="M30" s="30">
        <v>5.452</v>
      </c>
      <c r="N30" s="30">
        <v>5.452</v>
      </c>
      <c r="O30" s="32">
        <v>0</v>
      </c>
      <c r="P30" s="169">
        <f t="shared" si="6"/>
        <v>4585.4732208363903</v>
      </c>
      <c r="Q30" s="133">
        <f t="shared" si="7"/>
        <v>0.10526798027631751</v>
      </c>
      <c r="R30" s="29" t="s">
        <v>337</v>
      </c>
      <c r="S30" s="29" t="s">
        <v>186</v>
      </c>
      <c r="T30" s="29"/>
      <c r="U30" s="29" t="s">
        <v>377</v>
      </c>
      <c r="V30" s="146" t="s">
        <v>370</v>
      </c>
      <c r="W30" s="154">
        <v>4585.4732208363903</v>
      </c>
      <c r="X30" s="150">
        <f>W30/43560</f>
        <v>0.10526798027631749</v>
      </c>
      <c r="Y30" s="1">
        <v>45154</v>
      </c>
      <c r="Z30" s="38">
        <v>2022012205</v>
      </c>
      <c r="AB30" t="s">
        <v>1</v>
      </c>
      <c r="AC30" t="s">
        <v>72</v>
      </c>
      <c r="AD30">
        <v>5.452</v>
      </c>
      <c r="AE30" s="30">
        <v>5.452</v>
      </c>
      <c r="AF30">
        <v>100</v>
      </c>
      <c r="AH30">
        <v>0</v>
      </c>
      <c r="AI30" t="s">
        <v>29</v>
      </c>
      <c r="AJ30">
        <v>0</v>
      </c>
      <c r="AK30">
        <v>100</v>
      </c>
      <c r="AM30" t="s">
        <v>121</v>
      </c>
      <c r="AN30" t="s">
        <v>172</v>
      </c>
      <c r="AO30" t="s">
        <v>173</v>
      </c>
    </row>
    <row r="31" spans="1:69" x14ac:dyDescent="0.25">
      <c r="I31" s="36"/>
      <c r="M31" s="36"/>
      <c r="N31" s="36"/>
      <c r="O31" s="37"/>
      <c r="P31" s="37"/>
      <c r="AE31" s="36"/>
    </row>
    <row r="33" spans="1:68" s="138" customFormat="1" x14ac:dyDescent="0.25">
      <c r="A33" s="138" t="s">
        <v>187</v>
      </c>
      <c r="C33" s="139"/>
      <c r="D33" s="140"/>
      <c r="E33" s="141"/>
      <c r="G33" s="140"/>
      <c r="H33" s="140"/>
      <c r="I33" s="142"/>
      <c r="J33" s="140"/>
      <c r="K33" s="140"/>
      <c r="L33" s="143"/>
      <c r="M33" s="142"/>
      <c r="N33" s="142"/>
      <c r="O33" s="144"/>
      <c r="P33" s="144"/>
      <c r="Q33" s="140"/>
      <c r="R33" s="140"/>
      <c r="S33" s="140"/>
      <c r="T33" s="140"/>
      <c r="U33" s="140"/>
      <c r="V33" s="148"/>
      <c r="W33" s="140"/>
      <c r="X33" s="140"/>
      <c r="Y33" s="139"/>
      <c r="Z33" s="141"/>
      <c r="AE33" s="142"/>
    </row>
    <row r="34" spans="1:68" s="14" customFormat="1" x14ac:dyDescent="0.25">
      <c r="A34" t="s">
        <v>38</v>
      </c>
      <c r="B34" t="s">
        <v>94</v>
      </c>
      <c r="C34" s="1">
        <v>44974</v>
      </c>
      <c r="D34" s="6">
        <v>32500</v>
      </c>
      <c r="E34" s="41" t="s">
        <v>95</v>
      </c>
      <c r="F34" t="s">
        <v>71</v>
      </c>
      <c r="G34" s="6">
        <v>32500</v>
      </c>
      <c r="H34" s="6">
        <v>20300</v>
      </c>
      <c r="I34" s="3">
        <f>H34/G34*100</f>
        <v>62.46153846153846</v>
      </c>
      <c r="J34" s="6">
        <v>0</v>
      </c>
      <c r="K34" s="6">
        <f>G34-0</f>
        <v>32500</v>
      </c>
      <c r="L34" s="24" t="s">
        <v>110</v>
      </c>
      <c r="M34" s="3">
        <v>0.25</v>
      </c>
      <c r="N34" s="3">
        <v>0.25</v>
      </c>
      <c r="O34" s="5">
        <v>9147</v>
      </c>
      <c r="P34" s="32">
        <f t="shared" ref="P34:P35" si="8">K34/M34</f>
        <v>130000</v>
      </c>
      <c r="Q34" s="35">
        <f t="shared" ref="Q34:Q35" si="9">K34/(M34*43560)</f>
        <v>2.9843893480257115</v>
      </c>
      <c r="R34" s="34" t="s">
        <v>362</v>
      </c>
      <c r="S34" s="34" t="s">
        <v>329</v>
      </c>
      <c r="T34" s="34"/>
      <c r="U34" s="34"/>
      <c r="V34" s="146" t="s">
        <v>374</v>
      </c>
      <c r="W34" s="158">
        <f t="shared" ref="W34" si="10">X34*43560</f>
        <v>154772.05641193833</v>
      </c>
      <c r="X34" s="152">
        <v>3.5530775117524871</v>
      </c>
      <c r="Y34" s="1">
        <v>45154</v>
      </c>
      <c r="Z34" s="38">
        <v>2023004627</v>
      </c>
      <c r="AA34"/>
      <c r="AB34" t="s">
        <v>1</v>
      </c>
      <c r="AC34" t="s">
        <v>77</v>
      </c>
      <c r="AD34">
        <v>0.25</v>
      </c>
      <c r="AE34" s="3">
        <v>0</v>
      </c>
      <c r="AF34">
        <v>100</v>
      </c>
      <c r="AG34"/>
      <c r="AH34">
        <v>0.04</v>
      </c>
      <c r="AI34" t="s">
        <v>9</v>
      </c>
      <c r="AJ34">
        <v>9147</v>
      </c>
      <c r="AK34">
        <v>100</v>
      </c>
      <c r="AL34" t="s">
        <v>39</v>
      </c>
      <c r="AM34" t="s">
        <v>121</v>
      </c>
      <c r="AN34" t="s">
        <v>153</v>
      </c>
      <c r="AO34" t="s">
        <v>154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68" s="127" customFormat="1" x14ac:dyDescent="0.25">
      <c r="A35" s="127" t="s">
        <v>5</v>
      </c>
      <c r="B35" s="127" t="s">
        <v>75</v>
      </c>
      <c r="C35" s="159">
        <v>44774</v>
      </c>
      <c r="D35" s="160">
        <v>39900</v>
      </c>
      <c r="E35" s="130" t="s">
        <v>70</v>
      </c>
      <c r="F35" s="127" t="s">
        <v>71</v>
      </c>
      <c r="G35" s="160">
        <v>39900</v>
      </c>
      <c r="H35" s="160">
        <v>24800</v>
      </c>
      <c r="I35" s="161">
        <f>H35/G35*100</f>
        <v>62.155388471177943</v>
      </c>
      <c r="J35" s="160">
        <v>0</v>
      </c>
      <c r="K35" s="160">
        <f>G35-0</f>
        <v>39900</v>
      </c>
      <c r="L35" s="162" t="s">
        <v>331</v>
      </c>
      <c r="M35" s="161">
        <v>5.5E-2</v>
      </c>
      <c r="N35" s="161">
        <v>5.5E-2</v>
      </c>
      <c r="O35" s="163">
        <v>2401</v>
      </c>
      <c r="P35" s="32">
        <f t="shared" si="8"/>
        <v>725454.54545454541</v>
      </c>
      <c r="Q35" s="35">
        <f t="shared" si="9"/>
        <v>16.654144753318306</v>
      </c>
      <c r="R35" s="165" t="s">
        <v>361</v>
      </c>
      <c r="S35" s="164" t="s">
        <v>393</v>
      </c>
      <c r="T35" s="165"/>
      <c r="U35" s="165" t="s">
        <v>376</v>
      </c>
      <c r="V35" s="166" t="s">
        <v>373</v>
      </c>
      <c r="W35" s="167">
        <f>X35*43560</f>
        <v>723883.38192419824</v>
      </c>
      <c r="X35" s="168">
        <v>16.618075801749271</v>
      </c>
      <c r="Y35" s="159">
        <v>45154</v>
      </c>
      <c r="Z35" s="130">
        <v>2023000424</v>
      </c>
      <c r="AB35" s="127" t="s">
        <v>1</v>
      </c>
      <c r="AC35" s="127" t="s">
        <v>74</v>
      </c>
      <c r="AD35" s="127">
        <v>5.5E-2</v>
      </c>
      <c r="AE35" s="161">
        <v>0</v>
      </c>
      <c r="AF35" s="127">
        <v>100</v>
      </c>
      <c r="AH35" s="127">
        <v>0</v>
      </c>
      <c r="AI35" s="127" t="s">
        <v>4</v>
      </c>
      <c r="AJ35" s="127">
        <v>2401</v>
      </c>
      <c r="AK35" s="127">
        <v>100</v>
      </c>
      <c r="AL35" s="127" t="s">
        <v>6</v>
      </c>
      <c r="AM35" s="127" t="s">
        <v>121</v>
      </c>
      <c r="AN35" s="127" t="s">
        <v>124</v>
      </c>
      <c r="AO35" s="127" t="s">
        <v>126</v>
      </c>
    </row>
  </sheetData>
  <sortState xmlns:xlrd2="http://schemas.microsoft.com/office/spreadsheetml/2017/richdata2" ref="A2:BQ30">
    <sortCondition ref="A2:A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5267-1104-4072-884B-6FAA8E09FE82}">
  <dimension ref="A1:D21"/>
  <sheetViews>
    <sheetView workbookViewId="0">
      <selection activeCell="F16" sqref="F16"/>
    </sheetView>
  </sheetViews>
  <sheetFormatPr defaultRowHeight="15" x14ac:dyDescent="0.25"/>
  <cols>
    <col min="1" max="1" width="10.5703125" bestFit="1" customWidth="1"/>
    <col min="3" max="3" width="29.140625" customWidth="1"/>
    <col min="4" max="4" width="37.28515625" customWidth="1"/>
  </cols>
  <sheetData>
    <row r="1" spans="1:4" x14ac:dyDescent="0.25">
      <c r="A1" s="235">
        <v>2022</v>
      </c>
      <c r="B1" s="235" t="s">
        <v>423</v>
      </c>
      <c r="C1" s="235"/>
      <c r="D1" s="235"/>
    </row>
    <row r="2" spans="1:4" x14ac:dyDescent="0.25">
      <c r="A2">
        <v>0.35</v>
      </c>
      <c r="B2" s="38" t="s">
        <v>424</v>
      </c>
      <c r="C2" t="s">
        <v>191</v>
      </c>
    </row>
    <row r="3" spans="1:4" x14ac:dyDescent="0.25">
      <c r="A3">
        <v>0.79</v>
      </c>
      <c r="B3" s="38" t="s">
        <v>425</v>
      </c>
      <c r="C3" t="s">
        <v>216</v>
      </c>
    </row>
    <row r="4" spans="1:4" x14ac:dyDescent="0.25">
      <c r="A4">
        <v>1.74</v>
      </c>
      <c r="B4" s="38" t="s">
        <v>426</v>
      </c>
      <c r="C4" t="s">
        <v>321</v>
      </c>
    </row>
    <row r="5" spans="1:4" x14ac:dyDescent="0.25">
      <c r="A5">
        <v>3.03</v>
      </c>
      <c r="B5" s="38" t="s">
        <v>427</v>
      </c>
      <c r="C5" t="s">
        <v>262</v>
      </c>
    </row>
    <row r="6" spans="1:4" x14ac:dyDescent="0.25">
      <c r="A6">
        <v>8.2100000000000009</v>
      </c>
      <c r="B6" s="38" t="s">
        <v>428</v>
      </c>
      <c r="C6" t="s">
        <v>278</v>
      </c>
    </row>
    <row r="8" spans="1:4" x14ac:dyDescent="0.25">
      <c r="A8" s="235">
        <v>2022</v>
      </c>
      <c r="B8" s="235" t="s">
        <v>429</v>
      </c>
      <c r="C8" s="235"/>
      <c r="D8" s="235"/>
    </row>
    <row r="9" spans="1:4" x14ac:dyDescent="0.25">
      <c r="A9" s="4">
        <v>12300</v>
      </c>
      <c r="B9" s="38" t="s">
        <v>430</v>
      </c>
      <c r="C9" t="s">
        <v>289</v>
      </c>
    </row>
    <row r="10" spans="1:4" x14ac:dyDescent="0.25">
      <c r="A10" s="4">
        <v>19100</v>
      </c>
      <c r="B10" s="38" t="s">
        <v>431</v>
      </c>
      <c r="C10" t="s">
        <v>301</v>
      </c>
    </row>
    <row r="11" spans="1:4" x14ac:dyDescent="0.25">
      <c r="A11" s="4">
        <v>30700</v>
      </c>
      <c r="B11" s="38" t="s">
        <v>432</v>
      </c>
      <c r="C11" t="s">
        <v>308</v>
      </c>
    </row>
    <row r="14" spans="1:4" x14ac:dyDescent="0.25">
      <c r="A14" s="233">
        <v>2023</v>
      </c>
      <c r="B14" s="234" t="s">
        <v>433</v>
      </c>
      <c r="C14" s="233"/>
      <c r="D14" s="233"/>
    </row>
    <row r="15" spans="1:4" x14ac:dyDescent="0.25">
      <c r="A15" s="241" t="s">
        <v>438</v>
      </c>
      <c r="B15" s="240" t="s">
        <v>418</v>
      </c>
    </row>
    <row r="16" spans="1:4" x14ac:dyDescent="0.25">
      <c r="A16" s="225">
        <f>B16/43560</f>
        <v>0.17676767676767677</v>
      </c>
      <c r="B16" s="239">
        <v>7700</v>
      </c>
      <c r="C16" t="s">
        <v>405</v>
      </c>
      <c r="D16" t="s">
        <v>414</v>
      </c>
    </row>
    <row r="17" spans="1:4" x14ac:dyDescent="0.25">
      <c r="A17" s="225">
        <v>0.37</v>
      </c>
      <c r="B17" s="239">
        <v>15900</v>
      </c>
      <c r="C17" t="s">
        <v>407</v>
      </c>
      <c r="D17" t="s">
        <v>414</v>
      </c>
    </row>
    <row r="18" spans="1:4" x14ac:dyDescent="0.25">
      <c r="A18" s="225">
        <f t="shared" ref="A18:A20" si="0">B18/43560</f>
        <v>0.69329660238751145</v>
      </c>
      <c r="B18" s="239">
        <v>30200</v>
      </c>
      <c r="C18" t="s">
        <v>408</v>
      </c>
      <c r="D18" t="s">
        <v>413</v>
      </c>
    </row>
    <row r="19" spans="1:4" x14ac:dyDescent="0.25">
      <c r="A19" s="225">
        <f t="shared" si="0"/>
        <v>2.0684113865932048</v>
      </c>
      <c r="B19" s="239">
        <v>90100</v>
      </c>
      <c r="C19" t="s">
        <v>409</v>
      </c>
      <c r="D19" t="s">
        <v>413</v>
      </c>
    </row>
    <row r="20" spans="1:4" x14ac:dyDescent="0.25">
      <c r="A20" s="225">
        <f t="shared" si="0"/>
        <v>3.608815426997245</v>
      </c>
      <c r="B20" s="239">
        <v>157200</v>
      </c>
      <c r="C20" t="s">
        <v>410</v>
      </c>
      <c r="D20" t="s">
        <v>437</v>
      </c>
    </row>
    <row r="21" spans="1:4" x14ac:dyDescent="0.25">
      <c r="A21" s="225">
        <f>B21/43560</f>
        <v>9.2401285583103761</v>
      </c>
      <c r="B21" s="239">
        <v>402500</v>
      </c>
      <c r="C21" t="s">
        <v>411</v>
      </c>
      <c r="D21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CC64-EAE4-4333-821F-4195CC642603}">
  <sheetPr>
    <pageSetUpPr fitToPage="1"/>
  </sheetPr>
  <dimension ref="A1:BU29"/>
  <sheetViews>
    <sheetView tabSelected="1" workbookViewId="0">
      <selection activeCell="B6" sqref="B6"/>
    </sheetView>
  </sheetViews>
  <sheetFormatPr defaultRowHeight="15" x14ac:dyDescent="0.25"/>
  <cols>
    <col min="1" max="1" width="22.140625" customWidth="1"/>
    <col min="2" max="2" width="23.5703125" customWidth="1"/>
    <col min="3" max="3" width="10.85546875" style="43" customWidth="1"/>
    <col min="4" max="4" width="12.7109375" style="44" customWidth="1"/>
    <col min="5" max="5" width="8.7109375" style="38" customWidth="1"/>
    <col min="6" max="6" width="30.85546875" style="45" bestFit="1" customWidth="1"/>
    <col min="7" max="7" width="13.42578125" style="44" customWidth="1"/>
    <col min="8" max="8" width="9.85546875" style="46" customWidth="1"/>
    <col min="9" max="9" width="12.5703125" style="44" customWidth="1"/>
    <col min="10" max="10" width="11.7109375" style="176" customWidth="1"/>
    <col min="11" max="11" width="18.5703125" style="176" customWidth="1"/>
    <col min="12" max="12" width="16.5703125" style="38" customWidth="1"/>
    <col min="13" max="13" width="7.140625" style="38" customWidth="1"/>
    <col min="14" max="14" width="47" customWidth="1"/>
  </cols>
  <sheetData>
    <row r="1" spans="1:73" ht="18.75" x14ac:dyDescent="0.3">
      <c r="A1" s="251" t="s">
        <v>439</v>
      </c>
    </row>
    <row r="2" spans="1:73" ht="14.25" customHeight="1" x14ac:dyDescent="0.25">
      <c r="A2" s="111" t="s">
        <v>440</v>
      </c>
    </row>
    <row r="3" spans="1:73" s="187" customFormat="1" ht="26.25" customHeight="1" x14ac:dyDescent="0.25">
      <c r="A3" s="71" t="s">
        <v>436</v>
      </c>
      <c r="B3" s="180"/>
      <c r="C3" s="181"/>
      <c r="D3" s="182"/>
      <c r="E3" s="183"/>
      <c r="F3" s="184"/>
      <c r="G3" s="182"/>
      <c r="H3" s="185"/>
      <c r="I3" s="182"/>
      <c r="J3" s="186"/>
      <c r="K3" s="186"/>
      <c r="L3" s="183"/>
      <c r="M3" s="183"/>
    </row>
    <row r="4" spans="1:73" x14ac:dyDescent="0.25">
      <c r="A4" s="244" t="s">
        <v>396</v>
      </c>
      <c r="B4" s="245"/>
      <c r="C4" s="245"/>
      <c r="D4" s="246"/>
      <c r="E4" s="41"/>
      <c r="F4" s="247"/>
      <c r="G4" s="246"/>
      <c r="H4" s="248"/>
      <c r="I4" s="246"/>
      <c r="J4" s="249"/>
      <c r="K4" s="249"/>
      <c r="L4" s="41"/>
      <c r="M4" s="41"/>
      <c r="N4" s="13"/>
    </row>
    <row r="5" spans="1:73" ht="15.75" x14ac:dyDescent="0.25">
      <c r="A5" s="242" t="s">
        <v>444</v>
      </c>
      <c r="B5" s="13"/>
      <c r="C5" s="250"/>
      <c r="D5" s="246"/>
      <c r="E5" s="41"/>
      <c r="F5" s="250"/>
      <c r="G5" s="246"/>
      <c r="H5" s="248"/>
      <c r="I5" s="246"/>
      <c r="J5" s="249"/>
      <c r="K5" s="249"/>
      <c r="L5" s="41"/>
      <c r="M5" s="41"/>
      <c r="N5" s="13"/>
    </row>
    <row r="6" spans="1:73" s="12" customFormat="1" ht="60" x14ac:dyDescent="0.25">
      <c r="A6" s="9" t="s">
        <v>54</v>
      </c>
      <c r="B6" s="9" t="s">
        <v>55</v>
      </c>
      <c r="C6" s="10" t="s">
        <v>56</v>
      </c>
      <c r="D6" s="11" t="s">
        <v>57</v>
      </c>
      <c r="E6" s="9" t="s">
        <v>58</v>
      </c>
      <c r="F6" s="9" t="s">
        <v>59</v>
      </c>
      <c r="G6" s="11" t="s">
        <v>60</v>
      </c>
      <c r="H6" s="27" t="s">
        <v>398</v>
      </c>
      <c r="I6" s="11" t="s">
        <v>399</v>
      </c>
      <c r="J6" s="170" t="s">
        <v>400</v>
      </c>
      <c r="K6" s="170" t="s">
        <v>66</v>
      </c>
      <c r="L6" s="9" t="s">
        <v>65</v>
      </c>
      <c r="M6" s="9" t="s">
        <v>68</v>
      </c>
      <c r="N6" s="11" t="s">
        <v>183</v>
      </c>
    </row>
    <row r="7" spans="1:73" s="127" customFormat="1" x14ac:dyDescent="0.25">
      <c r="A7" s="127" t="s">
        <v>24</v>
      </c>
      <c r="B7" s="127" t="s">
        <v>88</v>
      </c>
      <c r="C7" s="159">
        <v>44440</v>
      </c>
      <c r="D7" s="160">
        <v>39000</v>
      </c>
      <c r="E7" s="130" t="s">
        <v>70</v>
      </c>
      <c r="F7" s="127" t="s">
        <v>71</v>
      </c>
      <c r="G7" s="160">
        <v>39000</v>
      </c>
      <c r="H7" s="161">
        <v>1.04</v>
      </c>
      <c r="I7" s="31">
        <f t="shared" ref="I7:I15" si="0">G7/H7</f>
        <v>37500</v>
      </c>
      <c r="J7" s="179">
        <v>0.86</v>
      </c>
      <c r="K7" s="173"/>
      <c r="L7" s="130">
        <v>2021029685</v>
      </c>
      <c r="M7" s="130">
        <v>201</v>
      </c>
      <c r="N7" s="160" t="s">
        <v>441</v>
      </c>
    </row>
    <row r="8" spans="1:73" s="127" customFormat="1" x14ac:dyDescent="0.25">
      <c r="A8" t="s">
        <v>22</v>
      </c>
      <c r="B8" t="s">
        <v>86</v>
      </c>
      <c r="C8" s="1">
        <v>44770</v>
      </c>
      <c r="D8" s="6">
        <v>30000</v>
      </c>
      <c r="E8" s="38" t="s">
        <v>87</v>
      </c>
      <c r="F8" t="s">
        <v>71</v>
      </c>
      <c r="G8" s="6">
        <v>30000</v>
      </c>
      <c r="H8" s="3">
        <v>2.46</v>
      </c>
      <c r="I8" s="31">
        <f t="shared" si="0"/>
        <v>12195.121951219513</v>
      </c>
      <c r="J8" s="172">
        <v>0.27996147730072346</v>
      </c>
      <c r="K8" s="171"/>
      <c r="L8" s="38">
        <v>2022023570</v>
      </c>
      <c r="M8" s="38" t="s">
        <v>77</v>
      </c>
      <c r="N8" s="34" t="s">
        <v>348</v>
      </c>
      <c r="O8"/>
    </row>
    <row r="9" spans="1:73" x14ac:dyDescent="0.25">
      <c r="A9" t="s">
        <v>13</v>
      </c>
      <c r="B9" t="s">
        <v>80</v>
      </c>
      <c r="C9" s="1">
        <v>44551</v>
      </c>
      <c r="D9" s="135">
        <v>155000</v>
      </c>
      <c r="E9" s="38" t="s">
        <v>70</v>
      </c>
      <c r="F9" t="s">
        <v>81</v>
      </c>
      <c r="G9" s="135">
        <v>155000</v>
      </c>
      <c r="H9" s="253">
        <v>3.0559917355371899</v>
      </c>
      <c r="I9" s="254">
        <f t="shared" si="0"/>
        <v>50720.032452166859</v>
      </c>
      <c r="J9" s="255">
        <f>I9/43560</f>
        <v>1.16437172755204</v>
      </c>
      <c r="K9" s="127" t="s">
        <v>15</v>
      </c>
      <c r="L9" s="38">
        <v>2021040392</v>
      </c>
      <c r="M9" s="38" t="s">
        <v>77</v>
      </c>
      <c r="N9" s="258" t="s">
        <v>442</v>
      </c>
      <c r="AO9" s="20"/>
    </row>
    <row r="10" spans="1:73" x14ac:dyDescent="0.25">
      <c r="A10" t="s">
        <v>46</v>
      </c>
      <c r="B10" t="s">
        <v>99</v>
      </c>
      <c r="C10" s="1">
        <v>44636</v>
      </c>
      <c r="D10" s="6">
        <v>85000</v>
      </c>
      <c r="E10" s="38" t="s">
        <v>70</v>
      </c>
      <c r="F10" t="s">
        <v>71</v>
      </c>
      <c r="G10" s="6">
        <v>85000</v>
      </c>
      <c r="H10" s="3">
        <v>3.6230000000000002</v>
      </c>
      <c r="I10" s="31">
        <f t="shared" si="0"/>
        <v>23461.219983439136</v>
      </c>
      <c r="J10" s="172">
        <f>I10/43560</f>
        <v>0.53859550007895174</v>
      </c>
      <c r="K10" s="171"/>
      <c r="L10" s="38">
        <v>2022007163</v>
      </c>
      <c r="M10" s="38" t="s">
        <v>77</v>
      </c>
      <c r="N10" s="6" t="s">
        <v>395</v>
      </c>
    </row>
    <row r="11" spans="1:73" x14ac:dyDescent="0.25">
      <c r="A11" t="s">
        <v>50</v>
      </c>
      <c r="B11" t="s">
        <v>101</v>
      </c>
      <c r="C11" s="1">
        <v>44314</v>
      </c>
      <c r="D11" s="6">
        <v>80000</v>
      </c>
      <c r="E11" s="38" t="s">
        <v>70</v>
      </c>
      <c r="F11" t="s">
        <v>83</v>
      </c>
      <c r="G11" s="6">
        <v>80000</v>
      </c>
      <c r="H11" s="3">
        <v>9.73</v>
      </c>
      <c r="I11" s="31">
        <f t="shared" si="0"/>
        <v>8221.9938335046245</v>
      </c>
      <c r="J11" s="172">
        <v>0.1887510062788022</v>
      </c>
      <c r="K11" s="171"/>
      <c r="L11" s="38">
        <v>2021020638</v>
      </c>
      <c r="M11" s="38" t="s">
        <v>74</v>
      </c>
      <c r="N11" s="6" t="s">
        <v>338</v>
      </c>
    </row>
    <row r="12" spans="1:73" s="14" customFormat="1" x14ac:dyDescent="0.25">
      <c r="A12" s="127" t="s">
        <v>402</v>
      </c>
      <c r="B12" s="127" t="s">
        <v>403</v>
      </c>
      <c r="C12" s="252">
        <v>44569</v>
      </c>
      <c r="D12" s="160">
        <v>360000</v>
      </c>
      <c r="E12" s="130" t="s">
        <v>70</v>
      </c>
      <c r="F12" s="127" t="s">
        <v>71</v>
      </c>
      <c r="G12" s="160">
        <v>360000</v>
      </c>
      <c r="H12" s="161">
        <v>17.100000000000001</v>
      </c>
      <c r="I12" s="31">
        <f t="shared" si="0"/>
        <v>21052.631578947367</v>
      </c>
      <c r="J12" s="179">
        <f>I12/43560</f>
        <v>0.48330191870861722</v>
      </c>
      <c r="K12" s="173"/>
      <c r="L12" s="130">
        <v>2022003514</v>
      </c>
      <c r="M12" s="130">
        <v>302</v>
      </c>
      <c r="N12" s="160" t="s">
        <v>404</v>
      </c>
      <c r="O12" s="12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</row>
    <row r="13" spans="1:73" x14ac:dyDescent="0.25">
      <c r="A13" s="127" t="s">
        <v>0</v>
      </c>
      <c r="B13" s="127" t="s">
        <v>69</v>
      </c>
      <c r="C13" s="159">
        <v>44369</v>
      </c>
      <c r="D13" s="160">
        <v>317244</v>
      </c>
      <c r="E13" s="130" t="s">
        <v>70</v>
      </c>
      <c r="F13" s="127" t="s">
        <v>71</v>
      </c>
      <c r="G13" s="160">
        <v>317244</v>
      </c>
      <c r="H13" s="161">
        <v>22.89</v>
      </c>
      <c r="I13" s="31">
        <f t="shared" si="0"/>
        <v>13859.501965923984</v>
      </c>
      <c r="J13" s="179">
        <f>I13/43560</f>
        <v>0.31817038489265342</v>
      </c>
      <c r="K13" s="173"/>
      <c r="L13" s="130">
        <v>2021022483</v>
      </c>
      <c r="M13" s="130" t="s">
        <v>72</v>
      </c>
      <c r="N13" s="160" t="s">
        <v>394</v>
      </c>
      <c r="O13" s="127"/>
      <c r="AQ13" s="20"/>
      <c r="AR13" s="20"/>
      <c r="AS13" s="20"/>
      <c r="AT13" s="20"/>
      <c r="AU13" s="20"/>
      <c r="AV13" s="20"/>
    </row>
    <row r="14" spans="1:73" x14ac:dyDescent="0.25">
      <c r="A14" t="s">
        <v>36</v>
      </c>
      <c r="B14" t="s">
        <v>93</v>
      </c>
      <c r="C14" s="1">
        <v>44831</v>
      </c>
      <c r="D14" s="135">
        <v>540000</v>
      </c>
      <c r="E14" s="38" t="s">
        <v>70</v>
      </c>
      <c r="F14" t="s">
        <v>81</v>
      </c>
      <c r="G14" s="135">
        <v>540000</v>
      </c>
      <c r="H14" s="253">
        <v>32.372999999999998</v>
      </c>
      <c r="I14" s="31">
        <f t="shared" si="0"/>
        <v>16680.567139282735</v>
      </c>
      <c r="J14" s="255">
        <f>I14/43560</f>
        <v>0.38293312991925471</v>
      </c>
      <c r="K14" s="127" t="s">
        <v>34</v>
      </c>
      <c r="L14" s="38">
        <v>2022026129</v>
      </c>
      <c r="M14" s="38" t="s">
        <v>85</v>
      </c>
      <c r="N14" s="135" t="s">
        <v>401</v>
      </c>
      <c r="AQ14" s="20"/>
      <c r="AR14" s="20"/>
      <c r="AS14" s="20"/>
      <c r="AT14" s="20"/>
      <c r="AU14" s="20"/>
      <c r="AV14" s="20"/>
    </row>
    <row r="15" spans="1:73" ht="15.75" thickBot="1" x14ac:dyDescent="0.3">
      <c r="A15" s="127" t="s">
        <v>51</v>
      </c>
      <c r="B15" s="127" t="s">
        <v>421</v>
      </c>
      <c r="C15" s="159">
        <v>44629</v>
      </c>
      <c r="D15" s="160">
        <v>521690</v>
      </c>
      <c r="E15" s="130" t="s">
        <v>70</v>
      </c>
      <c r="F15" s="127" t="s">
        <v>71</v>
      </c>
      <c r="G15" s="160">
        <v>521690</v>
      </c>
      <c r="H15" s="161">
        <v>38.72</v>
      </c>
      <c r="I15" s="31">
        <f t="shared" si="0"/>
        <v>13473.39876033058</v>
      </c>
      <c r="J15" s="179">
        <f>I15/43560</f>
        <v>0.30930667493871855</v>
      </c>
      <c r="K15" s="173"/>
      <c r="L15" s="130">
        <v>2022006625</v>
      </c>
      <c r="M15" s="130">
        <v>202</v>
      </c>
      <c r="N15" s="160" t="s">
        <v>422</v>
      </c>
      <c r="O15" s="12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Q15" s="14"/>
      <c r="AR15" s="14"/>
      <c r="AS15" s="14"/>
      <c r="AT15" s="14"/>
      <c r="AU15" s="14"/>
      <c r="AV15" s="14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</row>
    <row r="16" spans="1:73" ht="16.5" thickTop="1" thickBot="1" x14ac:dyDescent="0.3">
      <c r="A16" s="188"/>
      <c r="B16" s="73"/>
      <c r="C16" s="74"/>
      <c r="D16" s="75"/>
      <c r="E16" s="76"/>
      <c r="F16" s="77"/>
      <c r="G16" s="174">
        <f>SUM(G7:G15)</f>
        <v>2127934</v>
      </c>
      <c r="H16" s="175">
        <f>SUM(H7:H15)</f>
        <v>130.9919917355372</v>
      </c>
      <c r="I16" s="174">
        <f>AVERAGE(I7:I15)</f>
        <v>21907.163073868309</v>
      </c>
      <c r="J16" s="190">
        <f>AVERAGE(J7:J15)</f>
        <v>0.50282131329664015</v>
      </c>
      <c r="K16" s="77"/>
      <c r="L16" s="76"/>
      <c r="M16" s="76"/>
    </row>
    <row r="17" spans="1:42" ht="15.75" thickBot="1" x14ac:dyDescent="0.3">
      <c r="A17" s="81"/>
      <c r="B17" s="81"/>
      <c r="C17" s="82"/>
      <c r="D17" s="83"/>
      <c r="E17" s="84"/>
      <c r="F17" s="85"/>
      <c r="G17" s="83"/>
      <c r="H17" s="189" t="s">
        <v>397</v>
      </c>
      <c r="I17" s="178">
        <f>G16/H16</f>
        <v>16244.764063868392</v>
      </c>
      <c r="J17" s="243">
        <f>G16/H16/43560</f>
        <v>0.37292846794922846</v>
      </c>
      <c r="K17" s="177"/>
      <c r="L17" s="84"/>
      <c r="M17" s="84"/>
    </row>
    <row r="18" spans="1:42" ht="7.5" customHeight="1" x14ac:dyDescent="0.25"/>
    <row r="19" spans="1:42" x14ac:dyDescent="0.25">
      <c r="A19" t="s">
        <v>443</v>
      </c>
    </row>
    <row r="21" spans="1:42" x14ac:dyDescent="0.25">
      <c r="A21" s="256">
        <v>1</v>
      </c>
      <c r="B21" s="257">
        <f t="shared" ref="B21:B29" si="1">A21*16300</f>
        <v>16300</v>
      </c>
    </row>
    <row r="22" spans="1:42" x14ac:dyDescent="0.25">
      <c r="A22" s="256">
        <v>1.5</v>
      </c>
      <c r="B22" s="257">
        <f t="shared" si="1"/>
        <v>24450</v>
      </c>
    </row>
    <row r="23" spans="1:42" x14ac:dyDescent="0.25">
      <c r="A23" s="256">
        <v>2</v>
      </c>
      <c r="B23" s="257">
        <f t="shared" si="1"/>
        <v>32600</v>
      </c>
    </row>
    <row r="24" spans="1:42" x14ac:dyDescent="0.25">
      <c r="A24" s="256">
        <v>2.5</v>
      </c>
      <c r="B24" s="257">
        <f t="shared" si="1"/>
        <v>40750</v>
      </c>
    </row>
    <row r="25" spans="1:42" s="43" customFormat="1" x14ac:dyDescent="0.25">
      <c r="A25" s="256">
        <v>3</v>
      </c>
      <c r="B25" s="257">
        <f t="shared" si="1"/>
        <v>48900</v>
      </c>
      <c r="D25" s="44"/>
      <c r="E25" s="38"/>
      <c r="F25" s="45"/>
      <c r="G25" s="44"/>
      <c r="H25" s="46"/>
      <c r="I25" s="44"/>
      <c r="J25" s="176"/>
      <c r="K25" s="176"/>
      <c r="L25" s="38"/>
      <c r="M25" s="3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x14ac:dyDescent="0.25">
      <c r="A26" s="256">
        <v>4</v>
      </c>
      <c r="B26" s="257">
        <f t="shared" si="1"/>
        <v>65200</v>
      </c>
    </row>
    <row r="27" spans="1:42" x14ac:dyDescent="0.25">
      <c r="A27" s="256">
        <v>5</v>
      </c>
      <c r="B27" s="257">
        <f t="shared" si="1"/>
        <v>81500</v>
      </c>
    </row>
    <row r="28" spans="1:42" x14ac:dyDescent="0.25">
      <c r="A28" s="256">
        <v>7</v>
      </c>
      <c r="B28" s="257">
        <f t="shared" si="1"/>
        <v>114100</v>
      </c>
    </row>
    <row r="29" spans="1:42" x14ac:dyDescent="0.25">
      <c r="A29" s="256">
        <v>10</v>
      </c>
      <c r="B29" s="257">
        <f t="shared" si="1"/>
        <v>163000</v>
      </c>
    </row>
  </sheetData>
  <sortState xmlns:xlrd2="http://schemas.microsoft.com/office/spreadsheetml/2017/richdata2" ref="A7:O15">
    <sortCondition ref="H7:H15"/>
  </sortState>
  <phoneticPr fontId="19" type="noConversion"/>
  <pageMargins left="0.25" right="0.25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A817-7F1B-4976-BDFE-A8A97E80CC99}">
  <sheetPr>
    <pageSetUpPr fitToPage="1"/>
  </sheetPr>
  <dimension ref="A1:W37"/>
  <sheetViews>
    <sheetView workbookViewId="0">
      <selection activeCell="T12" sqref="T12"/>
    </sheetView>
  </sheetViews>
  <sheetFormatPr defaultRowHeight="15" x14ac:dyDescent="0.25"/>
  <cols>
    <col min="1" max="1" width="5.85546875" customWidth="1"/>
    <col min="2" max="2" width="4.7109375" customWidth="1"/>
    <col min="3" max="3" width="11" customWidth="1"/>
    <col min="4" max="4" width="3.7109375" customWidth="1"/>
    <col min="5" max="5" width="6.140625" customWidth="1"/>
    <col min="6" max="6" width="7" customWidth="1"/>
    <col min="7" max="7" width="10.28515625" customWidth="1"/>
    <col min="8" max="8" width="4.7109375" customWidth="1"/>
    <col min="9" max="9" width="4" customWidth="1"/>
    <col min="10" max="10" width="6.28515625" customWidth="1"/>
    <col min="11" max="11" width="11.42578125" customWidth="1"/>
    <col min="12" max="12" width="3.7109375" customWidth="1"/>
    <col min="13" max="13" width="4" customWidth="1"/>
    <col min="14" max="14" width="6.28515625" customWidth="1"/>
    <col min="15" max="15" width="12.85546875" customWidth="1"/>
    <col min="16" max="16" width="4" customWidth="1"/>
    <col min="19" max="19" width="10.28515625" style="4" customWidth="1"/>
    <col min="20" max="20" width="22.42578125" customWidth="1"/>
  </cols>
  <sheetData>
    <row r="1" spans="1:23" x14ac:dyDescent="0.25">
      <c r="A1" s="14" t="s">
        <v>420</v>
      </c>
      <c r="S1" s="237" t="s">
        <v>434</v>
      </c>
    </row>
    <row r="2" spans="1:23" ht="16.5" customHeight="1" x14ac:dyDescent="0.25">
      <c r="R2" s="236" t="s">
        <v>435</v>
      </c>
      <c r="S2" s="238" t="s">
        <v>418</v>
      </c>
    </row>
    <row r="3" spans="1:23" x14ac:dyDescent="0.25">
      <c r="A3" s="195" t="str">
        <f>T3</f>
        <v>23CI1 DEPRESSED</v>
      </c>
      <c r="B3" s="196"/>
      <c r="C3" s="196"/>
      <c r="D3" s="196"/>
      <c r="E3" s="226">
        <f>R3</f>
        <v>0.17676767676767677</v>
      </c>
      <c r="F3" s="196" t="s">
        <v>419</v>
      </c>
      <c r="G3" s="197">
        <f>S3</f>
        <v>7700</v>
      </c>
      <c r="H3" s="198" t="s">
        <v>418</v>
      </c>
      <c r="I3" s="196"/>
      <c r="J3" s="196" t="s">
        <v>417</v>
      </c>
      <c r="K3" s="196"/>
      <c r="L3" s="196" t="str">
        <f>U3</f>
        <v>02,09,10,11,12,30,90</v>
      </c>
      <c r="M3" s="196"/>
      <c r="N3" s="196"/>
      <c r="O3" s="196"/>
      <c r="P3" s="199"/>
      <c r="R3" s="225">
        <f>S3/43560</f>
        <v>0.17676767676767677</v>
      </c>
      <c r="S3" s="239">
        <v>7700</v>
      </c>
      <c r="T3" t="s">
        <v>405</v>
      </c>
      <c r="U3" t="s">
        <v>416</v>
      </c>
      <c r="W3" s="4"/>
    </row>
    <row r="4" spans="1:23" x14ac:dyDescent="0.25">
      <c r="A4" s="191">
        <v>1</v>
      </c>
      <c r="B4" s="192" t="s">
        <v>406</v>
      </c>
      <c r="C4" s="193">
        <f>A4*$S$3</f>
        <v>7700</v>
      </c>
      <c r="D4" s="194"/>
      <c r="E4" s="227">
        <v>3</v>
      </c>
      <c r="F4" s="192" t="s">
        <v>406</v>
      </c>
      <c r="G4" s="193">
        <f>E4*$S$3</f>
        <v>23100</v>
      </c>
      <c r="H4" s="194"/>
      <c r="I4" s="191">
        <v>10</v>
      </c>
      <c r="J4" s="192" t="s">
        <v>406</v>
      </c>
      <c r="K4" s="193">
        <f>I4*$S$3</f>
        <v>77000</v>
      </c>
      <c r="L4" s="194"/>
      <c r="M4" s="191">
        <v>30</v>
      </c>
      <c r="N4" s="192" t="s">
        <v>406</v>
      </c>
      <c r="O4" s="193">
        <f>M4*$S$3</f>
        <v>231000</v>
      </c>
      <c r="P4" s="194"/>
      <c r="R4" s="225">
        <f t="shared" ref="R4:R8" si="0">S4/43560</f>
        <v>0.36501377410468322</v>
      </c>
      <c r="S4" s="239">
        <v>15900</v>
      </c>
      <c r="T4" t="s">
        <v>407</v>
      </c>
      <c r="U4" t="s">
        <v>414</v>
      </c>
      <c r="W4" s="4"/>
    </row>
    <row r="5" spans="1:23" x14ac:dyDescent="0.25">
      <c r="A5" s="191">
        <v>1.5</v>
      </c>
      <c r="B5" s="192" t="s">
        <v>406</v>
      </c>
      <c r="C5" s="193">
        <f t="shared" ref="C5:C7" si="1">A5*$S$3</f>
        <v>11550</v>
      </c>
      <c r="D5" s="194"/>
      <c r="E5" s="227">
        <v>4</v>
      </c>
      <c r="F5" s="192" t="s">
        <v>406</v>
      </c>
      <c r="G5" s="193">
        <f t="shared" ref="G5:G7" si="2">E5*$S$3</f>
        <v>30800</v>
      </c>
      <c r="H5" s="194"/>
      <c r="I5" s="191">
        <v>15</v>
      </c>
      <c r="J5" s="192" t="s">
        <v>406</v>
      </c>
      <c r="K5" s="193">
        <f t="shared" ref="K5:K7" si="3">I5*$S$3</f>
        <v>115500</v>
      </c>
      <c r="L5" s="194"/>
      <c r="M5" s="191">
        <v>40</v>
      </c>
      <c r="N5" s="192" t="s">
        <v>406</v>
      </c>
      <c r="O5" s="193">
        <f t="shared" ref="O5:O7" si="4">M5*$S$3</f>
        <v>308000</v>
      </c>
      <c r="P5" s="194"/>
      <c r="R5" s="225">
        <f t="shared" si="0"/>
        <v>0.69329660238751145</v>
      </c>
      <c r="S5" s="239">
        <v>30200</v>
      </c>
      <c r="T5" t="s">
        <v>408</v>
      </c>
      <c r="U5" t="s">
        <v>413</v>
      </c>
      <c r="W5" s="4"/>
    </row>
    <row r="6" spans="1:23" x14ac:dyDescent="0.25">
      <c r="A6" s="191">
        <v>2</v>
      </c>
      <c r="B6" s="192" t="s">
        <v>406</v>
      </c>
      <c r="C6" s="193">
        <f t="shared" si="1"/>
        <v>15400</v>
      </c>
      <c r="D6" s="194"/>
      <c r="E6" s="227">
        <v>5</v>
      </c>
      <c r="F6" s="192" t="s">
        <v>406</v>
      </c>
      <c r="G6" s="193">
        <f t="shared" si="2"/>
        <v>38500</v>
      </c>
      <c r="H6" s="194"/>
      <c r="I6" s="191">
        <v>20</v>
      </c>
      <c r="J6" s="192" t="s">
        <v>406</v>
      </c>
      <c r="K6" s="193">
        <f t="shared" si="3"/>
        <v>154000</v>
      </c>
      <c r="L6" s="194"/>
      <c r="M6" s="191">
        <v>50</v>
      </c>
      <c r="N6" s="192" t="s">
        <v>406</v>
      </c>
      <c r="O6" s="193">
        <f t="shared" si="4"/>
        <v>385000</v>
      </c>
      <c r="P6" s="194"/>
      <c r="R6" s="225">
        <f t="shared" si="0"/>
        <v>2.0684113865932048</v>
      </c>
      <c r="S6" s="239">
        <v>90100</v>
      </c>
      <c r="T6" t="s">
        <v>409</v>
      </c>
      <c r="U6" t="s">
        <v>413</v>
      </c>
      <c r="W6" s="4"/>
    </row>
    <row r="7" spans="1:23" x14ac:dyDescent="0.25">
      <c r="A7" s="191">
        <v>2.5</v>
      </c>
      <c r="B7" s="192" t="s">
        <v>406</v>
      </c>
      <c r="C7" s="193">
        <f t="shared" si="1"/>
        <v>19250</v>
      </c>
      <c r="D7" s="194"/>
      <c r="E7" s="227">
        <v>7</v>
      </c>
      <c r="F7" s="192" t="s">
        <v>406</v>
      </c>
      <c r="G7" s="193">
        <f t="shared" si="2"/>
        <v>53900</v>
      </c>
      <c r="H7" s="194"/>
      <c r="I7" s="191">
        <v>25</v>
      </c>
      <c r="J7" s="192" t="s">
        <v>406</v>
      </c>
      <c r="K7" s="193">
        <f t="shared" si="3"/>
        <v>192500</v>
      </c>
      <c r="L7" s="194"/>
      <c r="M7" s="191">
        <v>100</v>
      </c>
      <c r="N7" s="192" t="s">
        <v>406</v>
      </c>
      <c r="O7" s="193">
        <f t="shared" si="4"/>
        <v>770000</v>
      </c>
      <c r="P7" s="194"/>
      <c r="R7" s="225">
        <f t="shared" si="0"/>
        <v>3.608815426997245</v>
      </c>
      <c r="S7" s="239">
        <v>157200</v>
      </c>
      <c r="T7" t="s">
        <v>410</v>
      </c>
      <c r="U7" t="s">
        <v>415</v>
      </c>
      <c r="W7" s="4"/>
    </row>
    <row r="8" spans="1:23" x14ac:dyDescent="0.25">
      <c r="E8" s="38"/>
      <c r="R8" s="225">
        <f t="shared" si="0"/>
        <v>9.2401285583103761</v>
      </c>
      <c r="S8" s="239">
        <v>402500</v>
      </c>
      <c r="T8" t="s">
        <v>411</v>
      </c>
      <c r="U8" t="s">
        <v>412</v>
      </c>
      <c r="W8" s="4"/>
    </row>
    <row r="9" spans="1:23" x14ac:dyDescent="0.25">
      <c r="A9" s="200" t="str">
        <f>T4</f>
        <v>23CI2 LOW DENS RURAL</v>
      </c>
      <c r="B9" s="201"/>
      <c r="C9" s="201"/>
      <c r="D9" s="201"/>
      <c r="E9" s="228">
        <f>R4</f>
        <v>0.36501377410468322</v>
      </c>
      <c r="F9" s="201" t="s">
        <v>419</v>
      </c>
      <c r="G9" s="202">
        <f>S4</f>
        <v>15900</v>
      </c>
      <c r="H9" s="203" t="s">
        <v>418</v>
      </c>
      <c r="I9" s="201"/>
      <c r="J9" s="201" t="s">
        <v>417</v>
      </c>
      <c r="K9" s="201"/>
      <c r="L9" s="201" t="str">
        <f>U4</f>
        <v>ALL UNITS EXCEPT 03</v>
      </c>
      <c r="M9" s="201"/>
      <c r="N9" s="201"/>
      <c r="O9" s="201"/>
      <c r="P9" s="204"/>
    </row>
    <row r="10" spans="1:23" x14ac:dyDescent="0.25">
      <c r="A10" s="191">
        <v>1</v>
      </c>
      <c r="B10" s="192" t="s">
        <v>406</v>
      </c>
      <c r="C10" s="193">
        <f>A10*$S$4</f>
        <v>15900</v>
      </c>
      <c r="D10" s="194"/>
      <c r="E10" s="227">
        <v>3</v>
      </c>
      <c r="F10" s="192" t="s">
        <v>406</v>
      </c>
      <c r="G10" s="193">
        <f>E10*$S$4</f>
        <v>47700</v>
      </c>
      <c r="H10" s="194"/>
      <c r="I10" s="191">
        <v>10</v>
      </c>
      <c r="J10" s="192" t="s">
        <v>406</v>
      </c>
      <c r="K10" s="193">
        <f>I10*$S$4</f>
        <v>159000</v>
      </c>
      <c r="L10" s="194"/>
      <c r="M10" s="191">
        <v>30</v>
      </c>
      <c r="N10" s="192" t="s">
        <v>406</v>
      </c>
      <c r="O10" s="193">
        <f>M10*$S$4</f>
        <v>477000</v>
      </c>
      <c r="P10" s="194"/>
      <c r="R10" s="38"/>
    </row>
    <row r="11" spans="1:23" x14ac:dyDescent="0.25">
      <c r="A11" s="191">
        <v>1.5</v>
      </c>
      <c r="B11" s="192" t="s">
        <v>406</v>
      </c>
      <c r="C11" s="193">
        <f t="shared" ref="C11:C13" si="5">A11*$S$4</f>
        <v>23850</v>
      </c>
      <c r="D11" s="194"/>
      <c r="E11" s="227">
        <v>4</v>
      </c>
      <c r="F11" s="192" t="s">
        <v>406</v>
      </c>
      <c r="G11" s="193">
        <f t="shared" ref="G11:G13" si="6">E11*$S$4</f>
        <v>63600</v>
      </c>
      <c r="H11" s="194"/>
      <c r="I11" s="191">
        <v>15</v>
      </c>
      <c r="J11" s="192" t="s">
        <v>406</v>
      </c>
      <c r="K11" s="193">
        <f t="shared" ref="K11:K13" si="7">I11*$S$4</f>
        <v>238500</v>
      </c>
      <c r="L11" s="194"/>
      <c r="M11" s="191">
        <v>40</v>
      </c>
      <c r="N11" s="192" t="s">
        <v>406</v>
      </c>
      <c r="O11" s="193">
        <f t="shared" ref="O11:O13" si="8">M11*$S$4</f>
        <v>636000</v>
      </c>
      <c r="P11" s="194"/>
      <c r="R11" s="38"/>
    </row>
    <row r="12" spans="1:23" x14ac:dyDescent="0.25">
      <c r="A12" s="191">
        <v>2</v>
      </c>
      <c r="B12" s="192" t="s">
        <v>406</v>
      </c>
      <c r="C12" s="193">
        <f t="shared" si="5"/>
        <v>31800</v>
      </c>
      <c r="D12" s="194"/>
      <c r="E12" s="227">
        <v>5</v>
      </c>
      <c r="F12" s="192" t="s">
        <v>406</v>
      </c>
      <c r="G12" s="193">
        <f t="shared" si="6"/>
        <v>79500</v>
      </c>
      <c r="H12" s="194"/>
      <c r="I12" s="191">
        <v>20</v>
      </c>
      <c r="J12" s="192" t="s">
        <v>406</v>
      </c>
      <c r="K12" s="193">
        <f t="shared" si="7"/>
        <v>318000</v>
      </c>
      <c r="L12" s="194"/>
      <c r="M12" s="191">
        <v>50</v>
      </c>
      <c r="N12" s="192" t="s">
        <v>406</v>
      </c>
      <c r="O12" s="193">
        <f t="shared" si="8"/>
        <v>795000</v>
      </c>
      <c r="P12" s="194"/>
      <c r="R12" s="38"/>
    </row>
    <row r="13" spans="1:23" x14ac:dyDescent="0.25">
      <c r="A13" s="191">
        <v>2.5</v>
      </c>
      <c r="B13" s="192" t="s">
        <v>406</v>
      </c>
      <c r="C13" s="193">
        <f t="shared" si="5"/>
        <v>39750</v>
      </c>
      <c r="D13" s="194"/>
      <c r="E13" s="227">
        <v>7</v>
      </c>
      <c r="F13" s="192" t="s">
        <v>406</v>
      </c>
      <c r="G13" s="193">
        <f t="shared" si="6"/>
        <v>111300</v>
      </c>
      <c r="H13" s="194"/>
      <c r="I13" s="191">
        <v>25</v>
      </c>
      <c r="J13" s="192" t="s">
        <v>406</v>
      </c>
      <c r="K13" s="193">
        <f t="shared" si="7"/>
        <v>397500</v>
      </c>
      <c r="L13" s="194"/>
      <c r="M13" s="191">
        <v>100</v>
      </c>
      <c r="N13" s="192" t="s">
        <v>406</v>
      </c>
      <c r="O13" s="193">
        <f t="shared" si="8"/>
        <v>1590000</v>
      </c>
      <c r="P13" s="194"/>
      <c r="R13" s="38"/>
    </row>
    <row r="14" spans="1:23" x14ac:dyDescent="0.25">
      <c r="E14" s="38"/>
      <c r="R14" s="38"/>
    </row>
    <row r="15" spans="1:23" x14ac:dyDescent="0.25">
      <c r="A15" s="205" t="str">
        <f>T5</f>
        <v>23CI3 MED DENS OUTSK</v>
      </c>
      <c r="B15" s="206"/>
      <c r="C15" s="206"/>
      <c r="D15" s="206"/>
      <c r="E15" s="229">
        <f>R5</f>
        <v>0.69329660238751145</v>
      </c>
      <c r="F15" s="206" t="s">
        <v>419</v>
      </c>
      <c r="G15" s="207">
        <f>S5</f>
        <v>30200</v>
      </c>
      <c r="H15" s="208" t="s">
        <v>418</v>
      </c>
      <c r="I15" s="206"/>
      <c r="J15" s="206" t="s">
        <v>417</v>
      </c>
      <c r="K15" s="206"/>
      <c r="L15" s="206" t="str">
        <f>U5</f>
        <v>ALL UNITS</v>
      </c>
      <c r="M15" s="206"/>
      <c r="N15" s="206"/>
      <c r="O15" s="206"/>
      <c r="P15" s="209"/>
      <c r="R15" s="38"/>
    </row>
    <row r="16" spans="1:23" x14ac:dyDescent="0.25">
      <c r="A16" s="191">
        <v>1</v>
      </c>
      <c r="B16" s="192" t="s">
        <v>406</v>
      </c>
      <c r="C16" s="193">
        <f>A16*$S$5</f>
        <v>30200</v>
      </c>
      <c r="D16" s="194"/>
      <c r="E16" s="227">
        <v>3</v>
      </c>
      <c r="F16" s="192" t="s">
        <v>406</v>
      </c>
      <c r="G16" s="193">
        <f>E16*$S$5</f>
        <v>90600</v>
      </c>
      <c r="H16" s="194"/>
      <c r="I16" s="191">
        <v>10</v>
      </c>
      <c r="J16" s="192" t="s">
        <v>406</v>
      </c>
      <c r="K16" s="193">
        <f>I16*$S$5</f>
        <v>302000</v>
      </c>
      <c r="L16" s="194"/>
      <c r="M16" s="191">
        <v>30</v>
      </c>
      <c r="N16" s="192" t="s">
        <v>406</v>
      </c>
      <c r="O16" s="193">
        <f>M16*$S$5</f>
        <v>906000</v>
      </c>
      <c r="P16" s="194"/>
      <c r="R16" s="38"/>
    </row>
    <row r="17" spans="1:18" x14ac:dyDescent="0.25">
      <c r="A17" s="191">
        <v>1.5</v>
      </c>
      <c r="B17" s="192" t="s">
        <v>406</v>
      </c>
      <c r="C17" s="193">
        <f t="shared" ref="C17:C19" si="9">A17*$S$5</f>
        <v>45300</v>
      </c>
      <c r="D17" s="194"/>
      <c r="E17" s="227">
        <v>4</v>
      </c>
      <c r="F17" s="192" t="s">
        <v>406</v>
      </c>
      <c r="G17" s="193">
        <f t="shared" ref="G17:G19" si="10">E17*$S$5</f>
        <v>120800</v>
      </c>
      <c r="H17" s="194"/>
      <c r="I17" s="191">
        <v>15</v>
      </c>
      <c r="J17" s="192" t="s">
        <v>406</v>
      </c>
      <c r="K17" s="193">
        <f t="shared" ref="K17:K19" si="11">I17*$S$5</f>
        <v>453000</v>
      </c>
      <c r="L17" s="194"/>
      <c r="M17" s="191">
        <v>40</v>
      </c>
      <c r="N17" s="192" t="s">
        <v>406</v>
      </c>
      <c r="O17" s="193">
        <f t="shared" ref="O17:O19" si="12">M17*$S$5</f>
        <v>1208000</v>
      </c>
      <c r="P17" s="194"/>
      <c r="R17" s="38"/>
    </row>
    <row r="18" spans="1:18" x14ac:dyDescent="0.25">
      <c r="A18" s="191">
        <v>2</v>
      </c>
      <c r="B18" s="192" t="s">
        <v>406</v>
      </c>
      <c r="C18" s="193">
        <f t="shared" si="9"/>
        <v>60400</v>
      </c>
      <c r="D18" s="194"/>
      <c r="E18" s="227">
        <v>5</v>
      </c>
      <c r="F18" s="192" t="s">
        <v>406</v>
      </c>
      <c r="G18" s="193">
        <f t="shared" si="10"/>
        <v>151000</v>
      </c>
      <c r="H18" s="194"/>
      <c r="I18" s="191">
        <v>20</v>
      </c>
      <c r="J18" s="192" t="s">
        <v>406</v>
      </c>
      <c r="K18" s="193">
        <f t="shared" si="11"/>
        <v>604000</v>
      </c>
      <c r="L18" s="194"/>
      <c r="M18" s="191">
        <v>50</v>
      </c>
      <c r="N18" s="192" t="s">
        <v>406</v>
      </c>
      <c r="O18" s="193">
        <f t="shared" si="12"/>
        <v>1510000</v>
      </c>
      <c r="P18" s="194"/>
      <c r="R18" s="38"/>
    </row>
    <row r="19" spans="1:18" x14ac:dyDescent="0.25">
      <c r="A19" s="191">
        <v>2.5</v>
      </c>
      <c r="B19" s="192" t="s">
        <v>406</v>
      </c>
      <c r="C19" s="193">
        <f t="shared" si="9"/>
        <v>75500</v>
      </c>
      <c r="D19" s="194"/>
      <c r="E19" s="227">
        <v>7</v>
      </c>
      <c r="F19" s="192" t="s">
        <v>406</v>
      </c>
      <c r="G19" s="193">
        <f t="shared" si="10"/>
        <v>211400</v>
      </c>
      <c r="H19" s="194"/>
      <c r="I19" s="191">
        <v>25</v>
      </c>
      <c r="J19" s="192" t="s">
        <v>406</v>
      </c>
      <c r="K19" s="193">
        <f t="shared" si="11"/>
        <v>755000</v>
      </c>
      <c r="L19" s="194"/>
      <c r="M19" s="191">
        <v>100</v>
      </c>
      <c r="N19" s="192" t="s">
        <v>406</v>
      </c>
      <c r="O19" s="193">
        <f t="shared" si="12"/>
        <v>3020000</v>
      </c>
      <c r="P19" s="194"/>
      <c r="R19" s="38"/>
    </row>
    <row r="20" spans="1:18" x14ac:dyDescent="0.25">
      <c r="E20" s="38"/>
      <c r="R20" s="38"/>
    </row>
    <row r="21" spans="1:18" x14ac:dyDescent="0.25">
      <c r="A21" s="210" t="str">
        <f>T6</f>
        <v>23CI4 MED DENS DEVEL</v>
      </c>
      <c r="B21" s="211"/>
      <c r="C21" s="211"/>
      <c r="D21" s="211"/>
      <c r="E21" s="230">
        <f>R6</f>
        <v>2.0684113865932048</v>
      </c>
      <c r="F21" s="211" t="s">
        <v>419</v>
      </c>
      <c r="G21" s="212">
        <f>S6</f>
        <v>90100</v>
      </c>
      <c r="H21" s="213" t="s">
        <v>418</v>
      </c>
      <c r="I21" s="211"/>
      <c r="J21" s="211" t="s">
        <v>417</v>
      </c>
      <c r="K21" s="211"/>
      <c r="L21" s="211" t="str">
        <f>U6</f>
        <v>ALL UNITS</v>
      </c>
      <c r="M21" s="211"/>
      <c r="N21" s="211"/>
      <c r="O21" s="211"/>
      <c r="P21" s="214"/>
      <c r="R21" s="38"/>
    </row>
    <row r="22" spans="1:18" x14ac:dyDescent="0.25">
      <c r="A22" s="191">
        <v>1</v>
      </c>
      <c r="B22" s="192" t="s">
        <v>406</v>
      </c>
      <c r="C22" s="193">
        <f>A22*$S$6</f>
        <v>90100</v>
      </c>
      <c r="D22" s="194"/>
      <c r="E22" s="227">
        <v>3</v>
      </c>
      <c r="F22" s="192" t="s">
        <v>406</v>
      </c>
      <c r="G22" s="193">
        <f>E22*$S$6</f>
        <v>270300</v>
      </c>
      <c r="H22" s="194"/>
      <c r="I22" s="191">
        <v>10</v>
      </c>
      <c r="J22" s="192" t="s">
        <v>406</v>
      </c>
      <c r="K22" s="193">
        <f>I22*$S$6</f>
        <v>901000</v>
      </c>
      <c r="L22" s="194"/>
      <c r="M22" s="191">
        <v>30</v>
      </c>
      <c r="N22" s="192" t="s">
        <v>406</v>
      </c>
      <c r="O22" s="193">
        <f>M22*$S$6</f>
        <v>2703000</v>
      </c>
      <c r="P22" s="194"/>
      <c r="R22" s="38"/>
    </row>
    <row r="23" spans="1:18" x14ac:dyDescent="0.25">
      <c r="A23" s="191">
        <v>1.5</v>
      </c>
      <c r="B23" s="192" t="s">
        <v>406</v>
      </c>
      <c r="C23" s="193">
        <f t="shared" ref="C23:C25" si="13">A23*$S$6</f>
        <v>135150</v>
      </c>
      <c r="D23" s="194"/>
      <c r="E23" s="227">
        <v>4</v>
      </c>
      <c r="F23" s="192" t="s">
        <v>406</v>
      </c>
      <c r="G23" s="193">
        <f t="shared" ref="G23:G25" si="14">E23*$S$6</f>
        <v>360400</v>
      </c>
      <c r="H23" s="194"/>
      <c r="I23" s="191">
        <v>15</v>
      </c>
      <c r="J23" s="192" t="s">
        <v>406</v>
      </c>
      <c r="K23" s="193">
        <f t="shared" ref="K23:K25" si="15">I23*$S$6</f>
        <v>1351500</v>
      </c>
      <c r="L23" s="194"/>
      <c r="M23" s="191">
        <v>40</v>
      </c>
      <c r="N23" s="192" t="s">
        <v>406</v>
      </c>
      <c r="O23" s="193">
        <f t="shared" ref="O23:O25" si="16">M23*$S$6</f>
        <v>3604000</v>
      </c>
      <c r="P23" s="194"/>
      <c r="R23" s="38"/>
    </row>
    <row r="24" spans="1:18" x14ac:dyDescent="0.25">
      <c r="A24" s="191">
        <v>2</v>
      </c>
      <c r="B24" s="192" t="s">
        <v>406</v>
      </c>
      <c r="C24" s="193">
        <f t="shared" si="13"/>
        <v>180200</v>
      </c>
      <c r="D24" s="194"/>
      <c r="E24" s="227">
        <v>5</v>
      </c>
      <c r="F24" s="192" t="s">
        <v>406</v>
      </c>
      <c r="G24" s="193">
        <f t="shared" si="14"/>
        <v>450500</v>
      </c>
      <c r="H24" s="194"/>
      <c r="I24" s="191">
        <v>20</v>
      </c>
      <c r="J24" s="192" t="s">
        <v>406</v>
      </c>
      <c r="K24" s="193">
        <f t="shared" si="15"/>
        <v>1802000</v>
      </c>
      <c r="L24" s="194"/>
      <c r="M24" s="191">
        <v>50</v>
      </c>
      <c r="N24" s="192" t="s">
        <v>406</v>
      </c>
      <c r="O24" s="193">
        <f t="shared" si="16"/>
        <v>4505000</v>
      </c>
      <c r="P24" s="194"/>
      <c r="R24" s="38"/>
    </row>
    <row r="25" spans="1:18" x14ac:dyDescent="0.25">
      <c r="A25" s="191">
        <v>2.5</v>
      </c>
      <c r="B25" s="192" t="s">
        <v>406</v>
      </c>
      <c r="C25" s="193">
        <f t="shared" si="13"/>
        <v>225250</v>
      </c>
      <c r="D25" s="194"/>
      <c r="E25" s="227">
        <v>7</v>
      </c>
      <c r="F25" s="192" t="s">
        <v>406</v>
      </c>
      <c r="G25" s="193">
        <f t="shared" si="14"/>
        <v>630700</v>
      </c>
      <c r="H25" s="194"/>
      <c r="I25" s="191">
        <v>25</v>
      </c>
      <c r="J25" s="192" t="s">
        <v>406</v>
      </c>
      <c r="K25" s="193">
        <f t="shared" si="15"/>
        <v>2252500</v>
      </c>
      <c r="L25" s="194"/>
      <c r="M25" s="191">
        <v>100</v>
      </c>
      <c r="N25" s="192" t="s">
        <v>406</v>
      </c>
      <c r="O25" s="193">
        <f t="shared" si="16"/>
        <v>9010000</v>
      </c>
      <c r="P25" s="194"/>
      <c r="R25" s="38"/>
    </row>
    <row r="26" spans="1:18" x14ac:dyDescent="0.25">
      <c r="E26" s="38"/>
      <c r="R26" s="38"/>
    </row>
    <row r="27" spans="1:18" x14ac:dyDescent="0.25">
      <c r="A27" s="215" t="str">
        <f>T7</f>
        <v>23CI5 HIGH DENSITY</v>
      </c>
      <c r="B27" s="216"/>
      <c r="C27" s="216"/>
      <c r="D27" s="216"/>
      <c r="E27" s="231">
        <f>R7</f>
        <v>3.608815426997245</v>
      </c>
      <c r="F27" s="216" t="s">
        <v>419</v>
      </c>
      <c r="G27" s="217">
        <f>S7</f>
        <v>157200</v>
      </c>
      <c r="H27" s="218" t="s">
        <v>418</v>
      </c>
      <c r="I27" s="216"/>
      <c r="J27" s="216" t="s">
        <v>417</v>
      </c>
      <c r="K27" s="216"/>
      <c r="L27" s="216" t="str">
        <f>U7</f>
        <v>03,05,09,10,13,18,22,23,24,28,29,90</v>
      </c>
      <c r="M27" s="216"/>
      <c r="N27" s="216"/>
      <c r="O27" s="216"/>
      <c r="P27" s="219"/>
      <c r="R27" s="38"/>
    </row>
    <row r="28" spans="1:18" x14ac:dyDescent="0.25">
      <c r="A28" s="191">
        <v>1</v>
      </c>
      <c r="B28" s="192" t="s">
        <v>406</v>
      </c>
      <c r="C28" s="193">
        <f>A28*$S$7</f>
        <v>157200</v>
      </c>
      <c r="D28" s="194"/>
      <c r="E28" s="227">
        <v>3</v>
      </c>
      <c r="F28" s="192" t="s">
        <v>406</v>
      </c>
      <c r="G28" s="193">
        <f>E28*$S$7</f>
        <v>471600</v>
      </c>
      <c r="H28" s="194"/>
      <c r="I28" s="191">
        <v>10</v>
      </c>
      <c r="J28" s="192" t="s">
        <v>406</v>
      </c>
      <c r="K28" s="193">
        <f>I28*$S$7</f>
        <v>1572000</v>
      </c>
      <c r="L28" s="194"/>
      <c r="M28" s="191">
        <v>30</v>
      </c>
      <c r="N28" s="192" t="s">
        <v>406</v>
      </c>
      <c r="O28" s="193">
        <f>M28*$S$7</f>
        <v>4716000</v>
      </c>
      <c r="P28" s="194"/>
    </row>
    <row r="29" spans="1:18" x14ac:dyDescent="0.25">
      <c r="A29" s="191">
        <v>1.5</v>
      </c>
      <c r="B29" s="192" t="s">
        <v>406</v>
      </c>
      <c r="C29" s="193">
        <f t="shared" ref="C29:C31" si="17">A29*$S$7</f>
        <v>235800</v>
      </c>
      <c r="D29" s="194"/>
      <c r="E29" s="227">
        <v>4</v>
      </c>
      <c r="F29" s="192" t="s">
        <v>406</v>
      </c>
      <c r="G29" s="193">
        <f t="shared" ref="G29:G31" si="18">E29*$S$7</f>
        <v>628800</v>
      </c>
      <c r="H29" s="194"/>
      <c r="I29" s="191">
        <v>15</v>
      </c>
      <c r="J29" s="192" t="s">
        <v>406</v>
      </c>
      <c r="K29" s="193">
        <f t="shared" ref="K29:K31" si="19">I29*$S$7</f>
        <v>2358000</v>
      </c>
      <c r="L29" s="194"/>
      <c r="M29" s="191">
        <v>40</v>
      </c>
      <c r="N29" s="192" t="s">
        <v>406</v>
      </c>
      <c r="O29" s="193">
        <f t="shared" ref="O29:O31" si="20">M29*$S$7</f>
        <v>6288000</v>
      </c>
      <c r="P29" s="194"/>
    </row>
    <row r="30" spans="1:18" x14ac:dyDescent="0.25">
      <c r="A30" s="191">
        <v>2</v>
      </c>
      <c r="B30" s="192" t="s">
        <v>406</v>
      </c>
      <c r="C30" s="193">
        <f t="shared" si="17"/>
        <v>314400</v>
      </c>
      <c r="D30" s="194"/>
      <c r="E30" s="227">
        <v>5</v>
      </c>
      <c r="F30" s="192" t="s">
        <v>406</v>
      </c>
      <c r="G30" s="193">
        <f t="shared" si="18"/>
        <v>786000</v>
      </c>
      <c r="H30" s="194"/>
      <c r="I30" s="191">
        <v>20</v>
      </c>
      <c r="J30" s="192" t="s">
        <v>406</v>
      </c>
      <c r="K30" s="193">
        <f t="shared" si="19"/>
        <v>3144000</v>
      </c>
      <c r="L30" s="194"/>
      <c r="M30" s="191">
        <v>50</v>
      </c>
      <c r="N30" s="192" t="s">
        <v>406</v>
      </c>
      <c r="O30" s="193">
        <f t="shared" si="20"/>
        <v>7860000</v>
      </c>
      <c r="P30" s="194"/>
    </row>
    <row r="31" spans="1:18" x14ac:dyDescent="0.25">
      <c r="A31" s="191">
        <v>2.5</v>
      </c>
      <c r="B31" s="192" t="s">
        <v>406</v>
      </c>
      <c r="C31" s="193">
        <f t="shared" si="17"/>
        <v>393000</v>
      </c>
      <c r="D31" s="194"/>
      <c r="E31" s="227">
        <v>7</v>
      </c>
      <c r="F31" s="192" t="s">
        <v>406</v>
      </c>
      <c r="G31" s="193">
        <f t="shared" si="18"/>
        <v>1100400</v>
      </c>
      <c r="H31" s="194"/>
      <c r="I31" s="191">
        <v>25</v>
      </c>
      <c r="J31" s="192" t="s">
        <v>406</v>
      </c>
      <c r="K31" s="193">
        <f t="shared" si="19"/>
        <v>3930000</v>
      </c>
      <c r="L31" s="194"/>
      <c r="M31" s="191">
        <v>100</v>
      </c>
      <c r="N31" s="192" t="s">
        <v>406</v>
      </c>
      <c r="O31" s="193">
        <f t="shared" si="20"/>
        <v>15720000</v>
      </c>
      <c r="P31" s="194"/>
    </row>
    <row r="32" spans="1:18" x14ac:dyDescent="0.25">
      <c r="E32" s="38"/>
    </row>
    <row r="33" spans="1:16" x14ac:dyDescent="0.25">
      <c r="A33" s="220" t="str">
        <f>T8</f>
        <v>23CI6 PRIME</v>
      </c>
      <c r="B33" s="221"/>
      <c r="C33" s="221"/>
      <c r="D33" s="221"/>
      <c r="E33" s="232">
        <f>R8</f>
        <v>9.2401285583103761</v>
      </c>
      <c r="F33" s="221" t="s">
        <v>419</v>
      </c>
      <c r="G33" s="222">
        <f>S8</f>
        <v>402500</v>
      </c>
      <c r="H33" s="223" t="s">
        <v>418</v>
      </c>
      <c r="I33" s="221"/>
      <c r="J33" s="221" t="s">
        <v>417</v>
      </c>
      <c r="K33" s="221"/>
      <c r="L33" s="221" t="str">
        <f>U8</f>
        <v>03,05,18,22,23,28,29,90</v>
      </c>
      <c r="M33" s="221"/>
      <c r="N33" s="221"/>
      <c r="O33" s="221"/>
      <c r="P33" s="224"/>
    </row>
    <row r="34" spans="1:16" x14ac:dyDescent="0.25">
      <c r="A34" s="191">
        <v>1</v>
      </c>
      <c r="B34" s="192" t="s">
        <v>406</v>
      </c>
      <c r="C34" s="193">
        <f>A34*$S$8</f>
        <v>402500</v>
      </c>
      <c r="D34" s="194"/>
      <c r="E34" s="227">
        <v>3</v>
      </c>
      <c r="F34" s="192" t="s">
        <v>406</v>
      </c>
      <c r="G34" s="193">
        <f>E34*$S$8</f>
        <v>1207500</v>
      </c>
      <c r="H34" s="194"/>
      <c r="I34" s="191">
        <v>10</v>
      </c>
      <c r="J34" s="192" t="s">
        <v>406</v>
      </c>
      <c r="K34" s="193">
        <f>I34*$S$8</f>
        <v>4025000</v>
      </c>
      <c r="L34" s="194"/>
      <c r="M34" s="191">
        <v>30</v>
      </c>
      <c r="N34" s="192" t="s">
        <v>406</v>
      </c>
      <c r="O34" s="193">
        <f>M34*$S$8</f>
        <v>12075000</v>
      </c>
      <c r="P34" s="194"/>
    </row>
    <row r="35" spans="1:16" x14ac:dyDescent="0.25">
      <c r="A35" s="191">
        <v>1.5</v>
      </c>
      <c r="B35" s="192" t="s">
        <v>406</v>
      </c>
      <c r="C35" s="193">
        <f t="shared" ref="C35:C37" si="21">A35*$S$8</f>
        <v>603750</v>
      </c>
      <c r="D35" s="194"/>
      <c r="E35" s="227">
        <v>4</v>
      </c>
      <c r="F35" s="192" t="s">
        <v>406</v>
      </c>
      <c r="G35" s="193">
        <f t="shared" ref="G35:G37" si="22">E35*$S$8</f>
        <v>1610000</v>
      </c>
      <c r="H35" s="194"/>
      <c r="I35" s="191">
        <v>15</v>
      </c>
      <c r="J35" s="192" t="s">
        <v>406</v>
      </c>
      <c r="K35" s="193">
        <f t="shared" ref="K35:K37" si="23">I35*$S$8</f>
        <v>6037500</v>
      </c>
      <c r="L35" s="194"/>
      <c r="M35" s="191">
        <v>40</v>
      </c>
      <c r="N35" s="192" t="s">
        <v>406</v>
      </c>
      <c r="O35" s="193">
        <f t="shared" ref="O35:O37" si="24">M35*$S$8</f>
        <v>16100000</v>
      </c>
      <c r="P35" s="194"/>
    </row>
    <row r="36" spans="1:16" x14ac:dyDescent="0.25">
      <c r="A36" s="191">
        <v>2</v>
      </c>
      <c r="B36" s="192" t="s">
        <v>406</v>
      </c>
      <c r="C36" s="193">
        <f t="shared" si="21"/>
        <v>805000</v>
      </c>
      <c r="D36" s="194"/>
      <c r="E36" s="227">
        <v>5</v>
      </c>
      <c r="F36" s="192" t="s">
        <v>406</v>
      </c>
      <c r="G36" s="193">
        <f t="shared" si="22"/>
        <v>2012500</v>
      </c>
      <c r="H36" s="194"/>
      <c r="I36" s="191">
        <v>20</v>
      </c>
      <c r="J36" s="192" t="s">
        <v>406</v>
      </c>
      <c r="K36" s="193">
        <f t="shared" si="23"/>
        <v>8050000</v>
      </c>
      <c r="L36" s="194"/>
      <c r="M36" s="191">
        <v>50</v>
      </c>
      <c r="N36" s="192" t="s">
        <v>406</v>
      </c>
      <c r="O36" s="193">
        <f t="shared" si="24"/>
        <v>20125000</v>
      </c>
      <c r="P36" s="194"/>
    </row>
    <row r="37" spans="1:16" x14ac:dyDescent="0.25">
      <c r="A37" s="191">
        <v>2.5</v>
      </c>
      <c r="B37" s="192" t="s">
        <v>406</v>
      </c>
      <c r="C37" s="193">
        <f t="shared" si="21"/>
        <v>1006250</v>
      </c>
      <c r="D37" s="194"/>
      <c r="E37" s="227">
        <v>7</v>
      </c>
      <c r="F37" s="192" t="s">
        <v>406</v>
      </c>
      <c r="G37" s="193">
        <f t="shared" si="22"/>
        <v>2817500</v>
      </c>
      <c r="H37" s="194"/>
      <c r="I37" s="191">
        <v>25</v>
      </c>
      <c r="J37" s="192" t="s">
        <v>406</v>
      </c>
      <c r="K37" s="193">
        <f t="shared" si="23"/>
        <v>10062500</v>
      </c>
      <c r="L37" s="194"/>
      <c r="M37" s="191">
        <v>100</v>
      </c>
      <c r="N37" s="192" t="s">
        <v>406</v>
      </c>
      <c r="O37" s="193">
        <f t="shared" si="24"/>
        <v>40250000</v>
      </c>
      <c r="P37" s="194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6FC3-968E-4DAB-BE21-8B8BFC21A08C}">
  <dimension ref="A1:AT135"/>
  <sheetViews>
    <sheetView workbookViewId="0">
      <selection activeCell="C17" sqref="C17"/>
    </sheetView>
  </sheetViews>
  <sheetFormatPr defaultRowHeight="15" x14ac:dyDescent="0.25"/>
  <cols>
    <col min="1" max="1" width="20.7109375" customWidth="1"/>
    <col min="2" max="2" width="29" customWidth="1"/>
    <col min="3" max="3" width="10.5703125" style="43" customWidth="1"/>
    <col min="4" max="4" width="12.7109375" style="44" customWidth="1"/>
    <col min="5" max="5" width="8.7109375" style="38" customWidth="1"/>
    <col min="6" max="6" width="16.5703125" style="45" customWidth="1"/>
    <col min="7" max="7" width="13.42578125" style="44" customWidth="1"/>
    <col min="8" max="8" width="9.85546875" style="46" customWidth="1"/>
    <col min="9" max="9" width="9.28515625" style="46" customWidth="1"/>
    <col min="10" max="10" width="12.28515625" style="44" customWidth="1"/>
    <col min="11" max="11" width="11.7109375" style="47" customWidth="1"/>
    <col min="12" max="12" width="26" style="45" customWidth="1"/>
    <col min="13" max="13" width="15.42578125" style="38" customWidth="1"/>
    <col min="14" max="14" width="7.140625" style="38" customWidth="1"/>
  </cols>
  <sheetData>
    <row r="1" spans="1:46" ht="15.75" x14ac:dyDescent="0.25">
      <c r="A1" s="42" t="s">
        <v>189</v>
      </c>
    </row>
    <row r="2" spans="1:46" ht="10.5" customHeight="1" x14ac:dyDescent="0.25">
      <c r="A2" s="42"/>
    </row>
    <row r="3" spans="1:46" ht="15.75" x14ac:dyDescent="0.25">
      <c r="A3" s="42" t="s">
        <v>190</v>
      </c>
    </row>
    <row r="4" spans="1:46" ht="10.5" customHeight="1" x14ac:dyDescent="0.25">
      <c r="A4" s="42"/>
    </row>
    <row r="5" spans="1:46" x14ac:dyDescent="0.25">
      <c r="A5" s="48" t="s">
        <v>191</v>
      </c>
      <c r="B5" s="43"/>
    </row>
    <row r="6" spans="1:46" x14ac:dyDescent="0.25">
      <c r="A6" s="49" t="s">
        <v>192</v>
      </c>
      <c r="B6" s="43"/>
    </row>
    <row r="7" spans="1:46" x14ac:dyDescent="0.25">
      <c r="A7" s="43" t="s">
        <v>193</v>
      </c>
      <c r="B7" s="50" t="s">
        <v>194</v>
      </c>
    </row>
    <row r="8" spans="1:46" s="12" customFormat="1" ht="30" x14ac:dyDescent="0.25">
      <c r="A8" s="9" t="s">
        <v>54</v>
      </c>
      <c r="B8" s="9" t="s">
        <v>55</v>
      </c>
      <c r="C8" s="51" t="s">
        <v>56</v>
      </c>
      <c r="D8" s="52" t="s">
        <v>57</v>
      </c>
      <c r="E8" s="9" t="s">
        <v>58</v>
      </c>
      <c r="F8" s="53" t="s">
        <v>59</v>
      </c>
      <c r="G8" s="52" t="s">
        <v>195</v>
      </c>
      <c r="H8" s="8" t="s">
        <v>196</v>
      </c>
      <c r="I8" s="8" t="s">
        <v>197</v>
      </c>
      <c r="J8" s="52" t="s">
        <v>198</v>
      </c>
      <c r="K8" s="54" t="s">
        <v>199</v>
      </c>
      <c r="L8" s="53" t="s">
        <v>67</v>
      </c>
      <c r="M8" s="9" t="s">
        <v>65</v>
      </c>
      <c r="N8" s="9" t="s">
        <v>68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s="61" customFormat="1" ht="12.75" x14ac:dyDescent="0.2">
      <c r="A9" s="49" t="s">
        <v>200</v>
      </c>
      <c r="B9" s="49" t="s">
        <v>93</v>
      </c>
      <c r="C9" s="49">
        <v>44049</v>
      </c>
      <c r="D9" s="56">
        <v>18500</v>
      </c>
      <c r="E9" s="57" t="s">
        <v>70</v>
      </c>
      <c r="F9" s="58" t="s">
        <v>71</v>
      </c>
      <c r="G9" s="56">
        <v>18500</v>
      </c>
      <c r="H9" s="59">
        <v>2.129</v>
      </c>
      <c r="I9" s="59">
        <v>2.1829999999999998</v>
      </c>
      <c r="J9" s="56">
        <f>G9/H9</f>
        <v>8689.5255988727095</v>
      </c>
      <c r="K9" s="60">
        <f>G9/H9/43560</f>
        <v>0.19948405874363428</v>
      </c>
      <c r="L9" s="58" t="s">
        <v>201</v>
      </c>
      <c r="M9" s="57">
        <v>2020020588</v>
      </c>
      <c r="N9" s="57" t="s">
        <v>77</v>
      </c>
    </row>
    <row r="10" spans="1:46" s="71" customFormat="1" ht="25.5" x14ac:dyDescent="0.25">
      <c r="A10" s="62" t="s">
        <v>202</v>
      </c>
      <c r="B10" s="63" t="s">
        <v>203</v>
      </c>
      <c r="C10" s="64">
        <v>44424</v>
      </c>
      <c r="D10" s="65">
        <v>20000</v>
      </c>
      <c r="E10" s="66" t="s">
        <v>70</v>
      </c>
      <c r="F10" s="63" t="s">
        <v>71</v>
      </c>
      <c r="G10" s="65">
        <v>20000</v>
      </c>
      <c r="H10" s="67">
        <v>2.38</v>
      </c>
      <c r="I10" s="67">
        <v>2.38</v>
      </c>
      <c r="J10" s="68">
        <f>G10/H10</f>
        <v>8403.361344537816</v>
      </c>
      <c r="K10" s="69">
        <v>0.19291463141730522</v>
      </c>
      <c r="L10" s="63" t="s">
        <v>204</v>
      </c>
      <c r="M10" s="66" t="s">
        <v>205</v>
      </c>
      <c r="N10" s="70">
        <v>202</v>
      </c>
    </row>
    <row r="11" spans="1:46" s="61" customFormat="1" ht="12.75" x14ac:dyDescent="0.2">
      <c r="A11" s="72" t="s">
        <v>206</v>
      </c>
      <c r="B11" s="49" t="s">
        <v>207</v>
      </c>
      <c r="C11" s="49">
        <v>44153</v>
      </c>
      <c r="D11" s="56">
        <v>45000</v>
      </c>
      <c r="E11" s="57" t="s">
        <v>70</v>
      </c>
      <c r="F11" s="58" t="s">
        <v>71</v>
      </c>
      <c r="G11" s="56">
        <v>45000</v>
      </c>
      <c r="H11" s="59">
        <v>2.98</v>
      </c>
      <c r="I11" s="59">
        <v>2.98</v>
      </c>
      <c r="J11" s="56">
        <f t="shared" ref="J11" si="0">G11/H11</f>
        <v>15100.671140939598</v>
      </c>
      <c r="K11" s="60">
        <f t="shared" ref="K11" si="1">G11/H11/43560</f>
        <v>0.34666370846968775</v>
      </c>
      <c r="L11" s="58" t="s">
        <v>208</v>
      </c>
      <c r="M11" s="57">
        <v>2020030522</v>
      </c>
      <c r="N11" s="57" t="s">
        <v>77</v>
      </c>
    </row>
    <row r="12" spans="1:46" s="71" customFormat="1" ht="25.5" x14ac:dyDescent="0.25">
      <c r="A12" s="62" t="s">
        <v>209</v>
      </c>
      <c r="B12" s="63" t="s">
        <v>210</v>
      </c>
      <c r="C12" s="64">
        <v>44042</v>
      </c>
      <c r="D12" s="65">
        <v>17000</v>
      </c>
      <c r="E12" s="66" t="s">
        <v>70</v>
      </c>
      <c r="F12" s="63" t="s">
        <v>71</v>
      </c>
      <c r="G12" s="65">
        <v>17000</v>
      </c>
      <c r="H12" s="67">
        <v>1</v>
      </c>
      <c r="I12" s="67">
        <v>1</v>
      </c>
      <c r="J12" s="68">
        <f>G12/H12</f>
        <v>17000</v>
      </c>
      <c r="K12" s="69">
        <v>0.39026629935720847</v>
      </c>
      <c r="L12" s="63" t="s">
        <v>211</v>
      </c>
      <c r="M12" s="70" t="s">
        <v>212</v>
      </c>
      <c r="N12" s="66">
        <v>202</v>
      </c>
    </row>
    <row r="13" spans="1:46" s="61" customFormat="1" ht="13.5" thickBot="1" x14ac:dyDescent="0.25">
      <c r="A13" s="49" t="s">
        <v>46</v>
      </c>
      <c r="B13" s="49" t="s">
        <v>99</v>
      </c>
      <c r="C13" s="49">
        <v>44636</v>
      </c>
      <c r="D13" s="56">
        <v>85000</v>
      </c>
      <c r="E13" s="57" t="s">
        <v>70</v>
      </c>
      <c r="F13" s="58" t="s">
        <v>71</v>
      </c>
      <c r="G13" s="56">
        <v>85000</v>
      </c>
      <c r="H13" s="59">
        <v>3.6230000000000002</v>
      </c>
      <c r="I13" s="59">
        <v>3.84</v>
      </c>
      <c r="J13" s="56">
        <f>G13/H13</f>
        <v>23461.219983439136</v>
      </c>
      <c r="K13" s="60">
        <f>G13/H13/43560</f>
        <v>0.53859550007895174</v>
      </c>
      <c r="L13" s="58" t="s">
        <v>201</v>
      </c>
      <c r="M13" s="57">
        <v>2022007163</v>
      </c>
      <c r="N13" s="57" t="s">
        <v>77</v>
      </c>
    </row>
    <row r="14" spans="1:46" ht="16.5" thickTop="1" thickBot="1" x14ac:dyDescent="0.3">
      <c r="A14" s="73"/>
      <c r="B14" s="73"/>
      <c r="C14" s="74" t="s">
        <v>213</v>
      </c>
      <c r="D14" s="75">
        <f>+SUM(D9:D13)</f>
        <v>185500</v>
      </c>
      <c r="E14" s="76"/>
      <c r="F14" s="77"/>
      <c r="G14" s="75">
        <f>+SUM(G9:G13)</f>
        <v>185500</v>
      </c>
      <c r="H14" s="78">
        <f>+SUM(H9:H13)</f>
        <v>12.112000000000002</v>
      </c>
      <c r="I14" s="78"/>
      <c r="J14" s="79"/>
      <c r="K14" s="80"/>
      <c r="L14" s="77"/>
      <c r="M14" s="76"/>
      <c r="N14" s="76"/>
    </row>
    <row r="15" spans="1:46" ht="15.75" thickBot="1" x14ac:dyDescent="0.3">
      <c r="A15" s="81"/>
      <c r="B15" s="81"/>
      <c r="C15" s="82"/>
      <c r="D15" s="83"/>
      <c r="E15" s="84"/>
      <c r="F15" s="85"/>
      <c r="G15" s="83"/>
      <c r="H15" s="86"/>
      <c r="I15" s="87" t="s">
        <v>214</v>
      </c>
      <c r="J15" s="83" t="s">
        <v>215</v>
      </c>
      <c r="K15" s="88">
        <f>G14/H14/43560</f>
        <v>0.35159296823161357</v>
      </c>
      <c r="L15" s="89"/>
      <c r="M15" s="84"/>
      <c r="N15" s="84"/>
    </row>
    <row r="16" spans="1:46" ht="7.5" customHeight="1" x14ac:dyDescent="0.25"/>
    <row r="17" spans="1:46" x14ac:dyDescent="0.25">
      <c r="A17" s="48" t="s">
        <v>216</v>
      </c>
      <c r="B17" s="43"/>
    </row>
    <row r="18" spans="1:46" x14ac:dyDescent="0.25">
      <c r="A18" s="49" t="s">
        <v>217</v>
      </c>
      <c r="B18" s="43"/>
    </row>
    <row r="19" spans="1:46" x14ac:dyDescent="0.25">
      <c r="A19" s="43" t="s">
        <v>218</v>
      </c>
      <c r="B19" s="50" t="s">
        <v>219</v>
      </c>
    </row>
    <row r="20" spans="1:46" s="12" customFormat="1" ht="30" x14ac:dyDescent="0.25">
      <c r="A20" s="9" t="s">
        <v>54</v>
      </c>
      <c r="B20" s="9" t="s">
        <v>55</v>
      </c>
      <c r="C20" s="51" t="s">
        <v>56</v>
      </c>
      <c r="D20" s="52" t="s">
        <v>57</v>
      </c>
      <c r="E20" s="9" t="s">
        <v>58</v>
      </c>
      <c r="F20" s="53" t="s">
        <v>59</v>
      </c>
      <c r="G20" s="52" t="s">
        <v>195</v>
      </c>
      <c r="H20" s="8" t="s">
        <v>196</v>
      </c>
      <c r="I20" s="8" t="s">
        <v>197</v>
      </c>
      <c r="J20" s="52" t="s">
        <v>198</v>
      </c>
      <c r="K20" s="54" t="s">
        <v>199</v>
      </c>
      <c r="L20" s="53" t="s">
        <v>67</v>
      </c>
      <c r="M20" s="9" t="s">
        <v>65</v>
      </c>
      <c r="N20" s="9" t="s">
        <v>68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71" customFormat="1" ht="25.5" x14ac:dyDescent="0.25">
      <c r="A21" s="90" t="s">
        <v>220</v>
      </c>
      <c r="B21" s="91" t="s">
        <v>221</v>
      </c>
      <c r="C21" s="91">
        <v>44133</v>
      </c>
      <c r="D21" s="68">
        <v>7000</v>
      </c>
      <c r="E21" s="70" t="s">
        <v>70</v>
      </c>
      <c r="F21" s="92" t="s">
        <v>71</v>
      </c>
      <c r="G21" s="68">
        <v>7000</v>
      </c>
      <c r="H21" s="67">
        <v>0.32</v>
      </c>
      <c r="I21" s="67">
        <v>0.32</v>
      </c>
      <c r="J21" s="68">
        <f t="shared" ref="J21:J27" si="2">G21/H21</f>
        <v>21875</v>
      </c>
      <c r="K21" s="93">
        <f t="shared" ref="K21:K27" si="3">G21/H21/43560</f>
        <v>0.50218089990817261</v>
      </c>
      <c r="L21" s="92" t="s">
        <v>222</v>
      </c>
      <c r="M21" s="66" t="s">
        <v>223</v>
      </c>
      <c r="N21" s="70">
        <v>202</v>
      </c>
    </row>
    <row r="22" spans="1:46" s="61" customFormat="1" ht="12.75" x14ac:dyDescent="0.2">
      <c r="A22" s="49" t="s">
        <v>224</v>
      </c>
      <c r="B22" s="49" t="s">
        <v>225</v>
      </c>
      <c r="C22" s="49">
        <v>44251</v>
      </c>
      <c r="D22" s="56">
        <v>12500</v>
      </c>
      <c r="E22" s="57" t="s">
        <v>70</v>
      </c>
      <c r="F22" s="58" t="s">
        <v>71</v>
      </c>
      <c r="G22" s="56">
        <v>12500</v>
      </c>
      <c r="H22" s="59">
        <v>0.40600000000000003</v>
      </c>
      <c r="I22" s="59">
        <v>0.7</v>
      </c>
      <c r="J22" s="56">
        <f t="shared" si="2"/>
        <v>30788.177339901475</v>
      </c>
      <c r="K22" s="60">
        <f t="shared" si="3"/>
        <v>0.70679929614098891</v>
      </c>
      <c r="L22" s="58" t="s">
        <v>208</v>
      </c>
      <c r="M22" s="57">
        <v>2021006917</v>
      </c>
      <c r="N22" s="57" t="s">
        <v>77</v>
      </c>
    </row>
    <row r="23" spans="1:46" s="61" customFormat="1" ht="12.75" x14ac:dyDescent="0.2">
      <c r="A23" s="49" t="s">
        <v>226</v>
      </c>
      <c r="B23" s="49" t="s">
        <v>227</v>
      </c>
      <c r="C23" s="49">
        <v>43937</v>
      </c>
      <c r="D23" s="56">
        <v>5000</v>
      </c>
      <c r="E23" s="57" t="s">
        <v>70</v>
      </c>
      <c r="F23" s="58" t="s">
        <v>71</v>
      </c>
      <c r="G23" s="56">
        <v>5000</v>
      </c>
      <c r="H23" s="59">
        <v>0.15</v>
      </c>
      <c r="I23" s="59">
        <v>0.15</v>
      </c>
      <c r="J23" s="56">
        <f t="shared" si="2"/>
        <v>33333.333333333336</v>
      </c>
      <c r="K23" s="60">
        <f t="shared" si="3"/>
        <v>0.76522803795531069</v>
      </c>
      <c r="L23" s="58" t="s">
        <v>208</v>
      </c>
      <c r="M23" s="57">
        <v>2020011559</v>
      </c>
      <c r="N23" s="57" t="s">
        <v>72</v>
      </c>
    </row>
    <row r="24" spans="1:46" s="61" customFormat="1" ht="12.75" x14ac:dyDescent="0.2">
      <c r="A24" s="49" t="s">
        <v>228</v>
      </c>
      <c r="B24" s="49" t="s">
        <v>229</v>
      </c>
      <c r="C24" s="49">
        <v>44113</v>
      </c>
      <c r="D24" s="56">
        <v>70000</v>
      </c>
      <c r="E24" s="57" t="s">
        <v>70</v>
      </c>
      <c r="F24" s="58" t="s">
        <v>71</v>
      </c>
      <c r="G24" s="56">
        <v>70000</v>
      </c>
      <c r="H24" s="59">
        <v>2</v>
      </c>
      <c r="I24" s="59">
        <v>2</v>
      </c>
      <c r="J24" s="56">
        <f t="shared" si="2"/>
        <v>35000</v>
      </c>
      <c r="K24" s="60">
        <f t="shared" si="3"/>
        <v>0.80348943985307619</v>
      </c>
      <c r="L24" s="58" t="s">
        <v>208</v>
      </c>
      <c r="M24" s="57">
        <v>2020030499</v>
      </c>
      <c r="N24" s="57" t="s">
        <v>77</v>
      </c>
    </row>
    <row r="25" spans="1:46" s="61" customFormat="1" ht="12.75" x14ac:dyDescent="0.2">
      <c r="A25" s="49" t="s">
        <v>230</v>
      </c>
      <c r="B25" s="49" t="s">
        <v>229</v>
      </c>
      <c r="C25" s="49">
        <v>44113</v>
      </c>
      <c r="D25" s="56">
        <v>70000</v>
      </c>
      <c r="E25" s="57" t="s">
        <v>70</v>
      </c>
      <c r="F25" s="58" t="s">
        <v>71</v>
      </c>
      <c r="G25" s="56">
        <v>70000</v>
      </c>
      <c r="H25" s="59">
        <v>2</v>
      </c>
      <c r="I25" s="59">
        <v>2</v>
      </c>
      <c r="J25" s="56">
        <f t="shared" si="2"/>
        <v>35000</v>
      </c>
      <c r="K25" s="60">
        <f t="shared" si="3"/>
        <v>0.80348943985307619</v>
      </c>
      <c r="L25" s="58" t="s">
        <v>208</v>
      </c>
      <c r="M25" s="57">
        <v>2020030498</v>
      </c>
      <c r="N25" s="57" t="s">
        <v>77</v>
      </c>
    </row>
    <row r="26" spans="1:46" s="61" customFormat="1" ht="12.75" x14ac:dyDescent="0.2">
      <c r="A26" s="49" t="s">
        <v>231</v>
      </c>
      <c r="B26" s="49" t="s">
        <v>229</v>
      </c>
      <c r="C26" s="49">
        <v>44113</v>
      </c>
      <c r="D26" s="56">
        <v>70000</v>
      </c>
      <c r="E26" s="57" t="s">
        <v>70</v>
      </c>
      <c r="F26" s="58" t="s">
        <v>71</v>
      </c>
      <c r="G26" s="56">
        <v>70000</v>
      </c>
      <c r="H26" s="59">
        <v>2</v>
      </c>
      <c r="I26" s="59">
        <v>2</v>
      </c>
      <c r="J26" s="56">
        <f t="shared" si="2"/>
        <v>35000</v>
      </c>
      <c r="K26" s="60">
        <f t="shared" si="3"/>
        <v>0.80348943985307619</v>
      </c>
      <c r="L26" s="58" t="s">
        <v>208</v>
      </c>
      <c r="M26" s="57">
        <v>2020030497</v>
      </c>
      <c r="N26" s="57" t="s">
        <v>77</v>
      </c>
    </row>
    <row r="27" spans="1:46" s="71" customFormat="1" ht="26.25" thickBot="1" x14ac:dyDescent="0.3">
      <c r="A27" s="94" t="s">
        <v>232</v>
      </c>
      <c r="B27" s="91" t="s">
        <v>233</v>
      </c>
      <c r="C27" s="91">
        <v>44251</v>
      </c>
      <c r="D27" s="68">
        <v>65000</v>
      </c>
      <c r="E27" s="70" t="s">
        <v>70</v>
      </c>
      <c r="F27" s="92" t="s">
        <v>71</v>
      </c>
      <c r="G27" s="68">
        <v>65000</v>
      </c>
      <c r="H27" s="67">
        <v>1.79</v>
      </c>
      <c r="I27" s="67">
        <v>2.2999999999999998</v>
      </c>
      <c r="J27" s="68">
        <f t="shared" si="2"/>
        <v>36312.849162011174</v>
      </c>
      <c r="K27" s="93">
        <f t="shared" si="3"/>
        <v>0.83362830950438871</v>
      </c>
      <c r="L27" s="92" t="s">
        <v>208</v>
      </c>
      <c r="M27" s="70">
        <v>2021006905</v>
      </c>
      <c r="N27" s="70" t="s">
        <v>77</v>
      </c>
    </row>
    <row r="28" spans="1:46" ht="16.5" thickTop="1" thickBot="1" x14ac:dyDescent="0.3">
      <c r="A28" s="73"/>
      <c r="B28" s="73"/>
      <c r="C28" s="74" t="s">
        <v>213</v>
      </c>
      <c r="D28" s="75">
        <f>+SUM(D21:D27)</f>
        <v>299500</v>
      </c>
      <c r="E28" s="76"/>
      <c r="F28" s="77"/>
      <c r="G28" s="75">
        <f>+SUM(G21:G27)</f>
        <v>299500</v>
      </c>
      <c r="H28" s="78">
        <f>+SUM(H21:H27)</f>
        <v>8.6660000000000004</v>
      </c>
      <c r="I28" s="78"/>
      <c r="J28" s="79"/>
      <c r="K28" s="80"/>
      <c r="L28" s="77"/>
      <c r="M28" s="76"/>
      <c r="N28" s="76"/>
    </row>
    <row r="29" spans="1:46" ht="15.75" thickBot="1" x14ac:dyDescent="0.3">
      <c r="A29" s="81"/>
      <c r="B29" s="81"/>
      <c r="C29" s="82"/>
      <c r="D29" s="83"/>
      <c r="E29" s="84"/>
      <c r="F29" s="89"/>
      <c r="G29" s="83"/>
      <c r="H29" s="86"/>
      <c r="I29" s="87" t="s">
        <v>214</v>
      </c>
      <c r="J29" s="83" t="s">
        <v>215</v>
      </c>
      <c r="K29" s="88">
        <f>G28/H28/43560</f>
        <v>0.79339648292504794</v>
      </c>
      <c r="L29" s="89"/>
      <c r="M29" s="84"/>
      <c r="N29" s="84"/>
    </row>
    <row r="30" spans="1:46" x14ac:dyDescent="0.25">
      <c r="A30" t="s">
        <v>234</v>
      </c>
    </row>
    <row r="31" spans="1:46" s="71" customFormat="1" ht="25.5" x14ac:dyDescent="0.25">
      <c r="A31" s="94" t="s">
        <v>235</v>
      </c>
      <c r="B31" s="91" t="s">
        <v>236</v>
      </c>
      <c r="C31" s="91">
        <v>44551</v>
      </c>
      <c r="D31" s="68">
        <v>155000</v>
      </c>
      <c r="E31" s="70" t="s">
        <v>70</v>
      </c>
      <c r="F31" s="92" t="s">
        <v>81</v>
      </c>
      <c r="G31" s="68">
        <v>155000</v>
      </c>
      <c r="H31" s="95">
        <f>2.022+0.873</f>
        <v>2.8949999999999996</v>
      </c>
      <c r="I31" s="96">
        <f>2.27+1.1</f>
        <v>3.37</v>
      </c>
      <c r="J31" s="68">
        <f>G31/H31</f>
        <v>53540.587219343703</v>
      </c>
      <c r="K31" s="93">
        <f>G31/H31/43560</f>
        <v>1.229122755265007</v>
      </c>
      <c r="L31" s="92" t="s">
        <v>208</v>
      </c>
      <c r="M31" s="70">
        <v>2021040392</v>
      </c>
      <c r="N31" s="70" t="s">
        <v>77</v>
      </c>
    </row>
    <row r="32" spans="1:46" ht="9.75" customHeight="1" x14ac:dyDescent="0.25"/>
    <row r="33" spans="1:46" x14ac:dyDescent="0.25">
      <c r="A33" s="48" t="s">
        <v>237</v>
      </c>
      <c r="B33" s="43"/>
    </row>
    <row r="34" spans="1:46" x14ac:dyDescent="0.25">
      <c r="A34" s="49" t="s">
        <v>238</v>
      </c>
      <c r="B34" s="43"/>
    </row>
    <row r="35" spans="1:46" x14ac:dyDescent="0.25">
      <c r="A35" s="43" t="s">
        <v>239</v>
      </c>
      <c r="B35" s="50" t="s">
        <v>240</v>
      </c>
    </row>
    <row r="36" spans="1:46" s="12" customFormat="1" ht="30" x14ac:dyDescent="0.25">
      <c r="A36" s="9" t="s">
        <v>54</v>
      </c>
      <c r="B36" s="9" t="s">
        <v>55</v>
      </c>
      <c r="C36" s="51" t="s">
        <v>56</v>
      </c>
      <c r="D36" s="52" t="s">
        <v>57</v>
      </c>
      <c r="E36" s="9" t="s">
        <v>58</v>
      </c>
      <c r="F36" s="53" t="s">
        <v>59</v>
      </c>
      <c r="G36" s="52" t="s">
        <v>195</v>
      </c>
      <c r="H36" s="8" t="s">
        <v>196</v>
      </c>
      <c r="I36" s="8" t="s">
        <v>197</v>
      </c>
      <c r="J36" s="52" t="s">
        <v>198</v>
      </c>
      <c r="K36" s="54" t="s">
        <v>199</v>
      </c>
      <c r="L36" s="53" t="s">
        <v>67</v>
      </c>
      <c r="M36" s="9" t="s">
        <v>65</v>
      </c>
      <c r="N36" s="9" t="s">
        <v>68</v>
      </c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</row>
    <row r="37" spans="1:46" s="61" customFormat="1" ht="12.75" x14ac:dyDescent="0.2">
      <c r="A37" s="49" t="s">
        <v>241</v>
      </c>
      <c r="B37" s="49" t="s">
        <v>242</v>
      </c>
      <c r="C37" s="49">
        <v>44510</v>
      </c>
      <c r="D37" s="56">
        <v>4391</v>
      </c>
      <c r="E37" s="57" t="s">
        <v>243</v>
      </c>
      <c r="F37" s="58" t="s">
        <v>71</v>
      </c>
      <c r="G37" s="56">
        <v>4391</v>
      </c>
      <c r="H37" s="59">
        <v>0.13</v>
      </c>
      <c r="I37" s="59">
        <v>0.13</v>
      </c>
      <c r="J37" s="56">
        <f t="shared" ref="J37:J46" si="4">G37/H37</f>
        <v>33776.923076923078</v>
      </c>
      <c r="K37" s="60">
        <f t="shared" ref="K37:K46" si="5">G37/H37/43560</f>
        <v>0.77541145722963911</v>
      </c>
      <c r="L37" s="58" t="s">
        <v>244</v>
      </c>
      <c r="M37" s="57">
        <v>2021036617</v>
      </c>
      <c r="N37" s="57" t="s">
        <v>77</v>
      </c>
    </row>
    <row r="38" spans="1:46" s="61" customFormat="1" ht="12.75" x14ac:dyDescent="0.2">
      <c r="A38" s="49" t="s">
        <v>245</v>
      </c>
      <c r="B38" s="49" t="s">
        <v>246</v>
      </c>
      <c r="C38" s="49">
        <v>44120</v>
      </c>
      <c r="D38" s="56">
        <v>45000</v>
      </c>
      <c r="E38" s="57" t="s">
        <v>70</v>
      </c>
      <c r="F38" s="58" t="s">
        <v>71</v>
      </c>
      <c r="G38" s="56">
        <v>45000</v>
      </c>
      <c r="H38" s="59">
        <v>1.228</v>
      </c>
      <c r="I38" s="59">
        <v>1.228</v>
      </c>
      <c r="J38" s="56">
        <f t="shared" si="4"/>
        <v>36644.951140065146</v>
      </c>
      <c r="K38" s="60">
        <f t="shared" si="5"/>
        <v>0.8412523218564083</v>
      </c>
      <c r="L38" s="58" t="s">
        <v>244</v>
      </c>
      <c r="M38" s="57">
        <v>2020027194</v>
      </c>
      <c r="N38" s="57">
        <v>302</v>
      </c>
    </row>
    <row r="39" spans="1:46" s="61" customFormat="1" ht="12.75" x14ac:dyDescent="0.2">
      <c r="A39" s="49" t="s">
        <v>247</v>
      </c>
      <c r="B39" s="49" t="s">
        <v>248</v>
      </c>
      <c r="C39" s="49">
        <v>44183</v>
      </c>
      <c r="D39" s="56">
        <v>28000</v>
      </c>
      <c r="E39" s="57" t="s">
        <v>70</v>
      </c>
      <c r="F39" s="58" t="s">
        <v>71</v>
      </c>
      <c r="G39" s="56">
        <v>28000</v>
      </c>
      <c r="H39" s="59">
        <v>0.65300000000000002</v>
      </c>
      <c r="I39" s="59">
        <v>0.65300000000000002</v>
      </c>
      <c r="J39" s="56">
        <f t="shared" si="4"/>
        <v>42879.019908116381</v>
      </c>
      <c r="K39" s="60">
        <f t="shared" si="5"/>
        <v>0.98436684821203813</v>
      </c>
      <c r="L39" s="58" t="s">
        <v>244</v>
      </c>
      <c r="M39" s="57">
        <v>2021000721</v>
      </c>
      <c r="N39" s="57" t="s">
        <v>77</v>
      </c>
    </row>
    <row r="40" spans="1:46" s="61" customFormat="1" ht="12.75" x14ac:dyDescent="0.2">
      <c r="A40" s="49" t="s">
        <v>249</v>
      </c>
      <c r="B40" s="49" t="s">
        <v>250</v>
      </c>
      <c r="C40" s="49">
        <v>44091</v>
      </c>
      <c r="D40" s="56">
        <v>26000</v>
      </c>
      <c r="E40" s="57" t="s">
        <v>70</v>
      </c>
      <c r="F40" s="58" t="s">
        <v>71</v>
      </c>
      <c r="G40" s="56">
        <v>26000</v>
      </c>
      <c r="H40" s="59">
        <v>0.58399999999999996</v>
      </c>
      <c r="I40" s="59">
        <v>0.58399999999999996</v>
      </c>
      <c r="J40" s="56">
        <f t="shared" si="4"/>
        <v>44520.547945205479</v>
      </c>
      <c r="K40" s="60">
        <f t="shared" si="5"/>
        <v>1.0220511465841478</v>
      </c>
      <c r="L40" s="58" t="s">
        <v>244</v>
      </c>
      <c r="M40" s="57">
        <v>2020024926</v>
      </c>
      <c r="N40" s="57" t="s">
        <v>77</v>
      </c>
    </row>
    <row r="41" spans="1:46" s="61" customFormat="1" ht="12.75" x14ac:dyDescent="0.2">
      <c r="A41" s="49" t="s">
        <v>251</v>
      </c>
      <c r="B41" s="49" t="s">
        <v>252</v>
      </c>
      <c r="C41" s="49">
        <v>44266</v>
      </c>
      <c r="D41" s="56">
        <v>39000</v>
      </c>
      <c r="E41" s="57" t="s">
        <v>70</v>
      </c>
      <c r="F41" s="58" t="s">
        <v>71</v>
      </c>
      <c r="G41" s="56">
        <v>39000</v>
      </c>
      <c r="H41" s="59">
        <v>0.754</v>
      </c>
      <c r="I41" s="59">
        <v>0.83</v>
      </c>
      <c r="J41" s="56">
        <f t="shared" si="4"/>
        <v>51724.137931034486</v>
      </c>
      <c r="K41" s="60">
        <f t="shared" si="5"/>
        <v>1.1874228175168615</v>
      </c>
      <c r="L41" s="58" t="s">
        <v>244</v>
      </c>
      <c r="M41" s="57">
        <v>2021008551</v>
      </c>
      <c r="N41" s="57" t="s">
        <v>77</v>
      </c>
    </row>
    <row r="42" spans="1:46" s="71" customFormat="1" ht="25.5" x14ac:dyDescent="0.25">
      <c r="A42" s="94" t="s">
        <v>253</v>
      </c>
      <c r="B42" s="91" t="s">
        <v>254</v>
      </c>
      <c r="C42" s="91">
        <v>43950</v>
      </c>
      <c r="D42" s="68">
        <v>25000</v>
      </c>
      <c r="E42" s="70" t="s">
        <v>70</v>
      </c>
      <c r="F42" s="97" t="s">
        <v>81</v>
      </c>
      <c r="G42" s="68">
        <v>25000</v>
      </c>
      <c r="H42" s="67">
        <f>0.152+0.196</f>
        <v>0.34799999999999998</v>
      </c>
      <c r="I42" s="67">
        <f>0.152+0.196</f>
        <v>0.34799999999999998</v>
      </c>
      <c r="J42" s="68">
        <f t="shared" si="4"/>
        <v>71839.080459770121</v>
      </c>
      <c r="K42" s="93">
        <f t="shared" si="5"/>
        <v>1.6491983576623077</v>
      </c>
      <c r="L42" s="92" t="s">
        <v>244</v>
      </c>
      <c r="M42" s="70">
        <v>2021022647</v>
      </c>
      <c r="N42" s="70" t="s">
        <v>77</v>
      </c>
    </row>
    <row r="43" spans="1:46" s="61" customFormat="1" ht="12.75" x14ac:dyDescent="0.2">
      <c r="A43" s="49" t="s">
        <v>255</v>
      </c>
      <c r="B43" s="49" t="s">
        <v>256</v>
      </c>
      <c r="C43" s="49">
        <v>44183</v>
      </c>
      <c r="D43" s="56">
        <v>250000</v>
      </c>
      <c r="E43" s="57" t="s">
        <v>70</v>
      </c>
      <c r="F43" s="58" t="s">
        <v>71</v>
      </c>
      <c r="G43" s="56">
        <v>250000</v>
      </c>
      <c r="H43" s="59">
        <v>3.07</v>
      </c>
      <c r="I43" s="59">
        <v>3.07</v>
      </c>
      <c r="J43" s="56">
        <f>G43/H43</f>
        <v>81433.224755700328</v>
      </c>
      <c r="K43" s="60">
        <f>G43/H43/43560</f>
        <v>1.8694496041253519</v>
      </c>
      <c r="L43" s="58" t="s">
        <v>244</v>
      </c>
      <c r="M43" s="57">
        <v>2021000285</v>
      </c>
      <c r="N43" s="57" t="s">
        <v>77</v>
      </c>
    </row>
    <row r="44" spans="1:46" s="71" customFormat="1" ht="25.5" x14ac:dyDescent="0.25">
      <c r="A44" s="94" t="s">
        <v>257</v>
      </c>
      <c r="B44" s="91" t="s">
        <v>258</v>
      </c>
      <c r="C44" s="91">
        <v>44148</v>
      </c>
      <c r="D44" s="68">
        <v>385000</v>
      </c>
      <c r="E44" s="70" t="s">
        <v>70</v>
      </c>
      <c r="F44" s="97" t="s">
        <v>81</v>
      </c>
      <c r="G44" s="68">
        <v>385000</v>
      </c>
      <c r="H44" s="67">
        <f>2.971+1.621</f>
        <v>4.5920000000000005</v>
      </c>
      <c r="I44" s="67">
        <v>5.29</v>
      </c>
      <c r="J44" s="68">
        <f>G44/H44</f>
        <v>83841.463414634141</v>
      </c>
      <c r="K44" s="93">
        <f>G44/H44/43560</f>
        <v>1.9247351564424735</v>
      </c>
      <c r="L44" s="92" t="s">
        <v>244</v>
      </c>
      <c r="M44" s="70">
        <v>2020030190</v>
      </c>
      <c r="N44" s="70" t="s">
        <v>77</v>
      </c>
    </row>
    <row r="45" spans="1:46" s="61" customFormat="1" ht="12.75" x14ac:dyDescent="0.2">
      <c r="A45" s="49" t="s">
        <v>11</v>
      </c>
      <c r="B45" s="49" t="s">
        <v>12</v>
      </c>
      <c r="C45" s="49">
        <v>44509</v>
      </c>
      <c r="D45" s="56">
        <v>60000</v>
      </c>
      <c r="E45" s="57" t="s">
        <v>70</v>
      </c>
      <c r="F45" s="58" t="s">
        <v>71</v>
      </c>
      <c r="G45" s="56">
        <v>60000</v>
      </c>
      <c r="H45" s="59">
        <v>0.58899999999999997</v>
      </c>
      <c r="I45" s="59">
        <v>0.58899999999999997</v>
      </c>
      <c r="J45" s="56">
        <f t="shared" si="4"/>
        <v>101867.57215619695</v>
      </c>
      <c r="K45" s="60">
        <f t="shared" si="5"/>
        <v>2.338557671170729</v>
      </c>
      <c r="L45" s="58" t="s">
        <v>244</v>
      </c>
      <c r="M45" s="57">
        <v>2021036327</v>
      </c>
      <c r="N45" s="57" t="s">
        <v>77</v>
      </c>
    </row>
    <row r="46" spans="1:46" s="61" customFormat="1" ht="13.5" thickBot="1" x14ac:dyDescent="0.25">
      <c r="A46" s="49" t="s">
        <v>3</v>
      </c>
      <c r="B46" s="49" t="s">
        <v>259</v>
      </c>
      <c r="C46" s="49">
        <v>44308</v>
      </c>
      <c r="D46" s="56">
        <v>160000</v>
      </c>
      <c r="E46" s="57" t="s">
        <v>70</v>
      </c>
      <c r="F46" s="58" t="s">
        <v>71</v>
      </c>
      <c r="G46" s="56">
        <v>160000</v>
      </c>
      <c r="H46" s="59">
        <v>1.522</v>
      </c>
      <c r="I46" s="59">
        <v>1.522</v>
      </c>
      <c r="J46" s="56">
        <f t="shared" si="4"/>
        <v>105124.83574244415</v>
      </c>
      <c r="K46" s="60">
        <f t="shared" si="5"/>
        <v>2.4133341538669457</v>
      </c>
      <c r="L46" s="58" t="s">
        <v>244</v>
      </c>
      <c r="M46" s="57">
        <v>2021017150</v>
      </c>
      <c r="N46" s="57" t="s">
        <v>77</v>
      </c>
    </row>
    <row r="47" spans="1:46" ht="16.5" thickTop="1" thickBot="1" x14ac:dyDescent="0.3">
      <c r="A47" s="73"/>
      <c r="B47" s="73"/>
      <c r="C47" s="74" t="s">
        <v>213</v>
      </c>
      <c r="D47" s="75">
        <f>+SUM(D37:D46)</f>
        <v>1022391</v>
      </c>
      <c r="E47" s="76"/>
      <c r="F47" s="77"/>
      <c r="G47" s="75">
        <f>+SUM(G37:G46)</f>
        <v>1022391</v>
      </c>
      <c r="H47" s="78">
        <f>+SUM(H37:H46)</f>
        <v>13.47</v>
      </c>
      <c r="I47" s="78"/>
      <c r="J47" s="79"/>
      <c r="K47" s="80"/>
      <c r="L47" s="77"/>
      <c r="M47" s="76"/>
      <c r="N47" s="76"/>
    </row>
    <row r="48" spans="1:46" ht="15.75" thickBot="1" x14ac:dyDescent="0.3">
      <c r="A48" s="81"/>
      <c r="B48" s="81"/>
      <c r="C48" s="82"/>
      <c r="D48" s="83"/>
      <c r="E48" s="84"/>
      <c r="F48" s="89"/>
      <c r="G48" s="83"/>
      <c r="H48" s="86"/>
      <c r="I48" s="87" t="s">
        <v>214</v>
      </c>
      <c r="J48" s="83" t="s">
        <v>215</v>
      </c>
      <c r="K48" s="88">
        <f>G47/H47/43560</f>
        <v>1.7424549197175234</v>
      </c>
      <c r="L48" s="89"/>
      <c r="M48" s="84"/>
      <c r="N48" s="84"/>
    </row>
    <row r="49" spans="1:46" x14ac:dyDescent="0.25">
      <c r="A49" t="s">
        <v>260</v>
      </c>
    </row>
    <row r="50" spans="1:46" s="61" customFormat="1" ht="12.75" x14ac:dyDescent="0.2">
      <c r="A50" s="49" t="s">
        <v>40</v>
      </c>
      <c r="B50" s="49" t="s">
        <v>96</v>
      </c>
      <c r="C50" s="49">
        <v>44447</v>
      </c>
      <c r="D50" s="56">
        <v>39000</v>
      </c>
      <c r="E50" s="57" t="s">
        <v>70</v>
      </c>
      <c r="F50" s="58" t="s">
        <v>71</v>
      </c>
      <c r="G50" s="56">
        <v>39000</v>
      </c>
      <c r="H50" s="59">
        <v>1.238</v>
      </c>
      <c r="I50" s="59">
        <v>1.238</v>
      </c>
      <c r="J50" s="56">
        <f>G50/H50</f>
        <v>31502.42326332795</v>
      </c>
      <c r="K50" s="60">
        <f>G50/H50/43560</f>
        <v>0.72319612633902552</v>
      </c>
      <c r="L50" s="58" t="s">
        <v>244</v>
      </c>
      <c r="M50" s="57">
        <v>2021029703</v>
      </c>
      <c r="N50" s="57" t="s">
        <v>77</v>
      </c>
    </row>
    <row r="51" spans="1:46" ht="9.75" customHeight="1" x14ac:dyDescent="0.25">
      <c r="A51" s="43"/>
      <c r="B51" s="43"/>
      <c r="H51" s="98"/>
      <c r="I51" s="98"/>
    </row>
    <row r="52" spans="1:46" ht="15.75" x14ac:dyDescent="0.25">
      <c r="A52" s="42" t="s">
        <v>261</v>
      </c>
    </row>
    <row r="53" spans="1:46" ht="15.75" x14ac:dyDescent="0.25">
      <c r="A53" s="42"/>
    </row>
    <row r="54" spans="1:46" x14ac:dyDescent="0.25">
      <c r="A54" s="48" t="s">
        <v>262</v>
      </c>
      <c r="B54" s="43"/>
    </row>
    <row r="55" spans="1:46" x14ac:dyDescent="0.25">
      <c r="A55" s="49" t="s">
        <v>263</v>
      </c>
      <c r="B55" s="43"/>
    </row>
    <row r="56" spans="1:46" x14ac:dyDescent="0.25">
      <c r="A56" s="43" t="s">
        <v>264</v>
      </c>
      <c r="B56" s="50" t="s">
        <v>265</v>
      </c>
    </row>
    <row r="57" spans="1:46" s="12" customFormat="1" ht="30" x14ac:dyDescent="0.25">
      <c r="A57" s="9" t="s">
        <v>54</v>
      </c>
      <c r="B57" s="9" t="s">
        <v>55</v>
      </c>
      <c r="C57" s="51" t="s">
        <v>56</v>
      </c>
      <c r="D57" s="52" t="s">
        <v>57</v>
      </c>
      <c r="E57" s="9" t="s">
        <v>58</v>
      </c>
      <c r="F57" s="53" t="s">
        <v>59</v>
      </c>
      <c r="G57" s="52" t="s">
        <v>195</v>
      </c>
      <c r="H57" s="8" t="s">
        <v>196</v>
      </c>
      <c r="I57" s="8" t="s">
        <v>197</v>
      </c>
      <c r="J57" s="52" t="s">
        <v>198</v>
      </c>
      <c r="K57" s="54" t="s">
        <v>199</v>
      </c>
      <c r="L57" s="53" t="s">
        <v>67</v>
      </c>
      <c r="M57" s="9" t="s">
        <v>65</v>
      </c>
      <c r="N57" s="9" t="s">
        <v>68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1:46" s="61" customFormat="1" ht="12.75" x14ac:dyDescent="0.2">
      <c r="A58" s="49" t="s">
        <v>33</v>
      </c>
      <c r="B58" s="49" t="s">
        <v>92</v>
      </c>
      <c r="C58" s="49">
        <v>44362</v>
      </c>
      <c r="D58" s="56">
        <v>175000</v>
      </c>
      <c r="E58" s="57" t="s">
        <v>70</v>
      </c>
      <c r="F58" s="58" t="s">
        <v>71</v>
      </c>
      <c r="G58" s="56">
        <v>175000</v>
      </c>
      <c r="H58" s="59">
        <v>1.53</v>
      </c>
      <c r="I58" s="59">
        <v>1.53</v>
      </c>
      <c r="J58" s="56">
        <f>G58/H58</f>
        <v>114379.08496732026</v>
      </c>
      <c r="K58" s="60">
        <f>G58/H58/43560</f>
        <v>2.6257824831799876</v>
      </c>
      <c r="L58" s="58" t="s">
        <v>266</v>
      </c>
      <c r="M58" s="57">
        <v>2021022028</v>
      </c>
      <c r="N58" s="57" t="s">
        <v>77</v>
      </c>
    </row>
    <row r="59" spans="1:46" s="71" customFormat="1" ht="25.5" x14ac:dyDescent="0.25">
      <c r="A59" s="94" t="s">
        <v>267</v>
      </c>
      <c r="B59" s="91" t="s">
        <v>268</v>
      </c>
      <c r="C59" s="91">
        <v>44231</v>
      </c>
      <c r="D59" s="68">
        <v>182000</v>
      </c>
      <c r="E59" s="70" t="s">
        <v>70</v>
      </c>
      <c r="F59" s="97" t="s">
        <v>81</v>
      </c>
      <c r="G59" s="68">
        <v>182000</v>
      </c>
      <c r="H59" s="67">
        <v>1.452</v>
      </c>
      <c r="I59" s="67">
        <f>0.728+0.724</f>
        <v>1.452</v>
      </c>
      <c r="J59" s="68">
        <f>G59/H59</f>
        <v>125344.35261707989</v>
      </c>
      <c r="K59" s="93">
        <f>G59/H59/43560</f>
        <v>2.8775103906583994</v>
      </c>
      <c r="L59" s="92" t="s">
        <v>266</v>
      </c>
      <c r="M59" s="70">
        <v>2021005588</v>
      </c>
      <c r="N59" s="70" t="s">
        <v>77</v>
      </c>
    </row>
    <row r="60" spans="1:46" s="71" customFormat="1" ht="25.5" x14ac:dyDescent="0.25">
      <c r="A60" s="99" t="s">
        <v>269</v>
      </c>
      <c r="B60" s="71" t="s">
        <v>270</v>
      </c>
      <c r="C60" s="100">
        <v>44439</v>
      </c>
      <c r="D60" s="68">
        <v>120000</v>
      </c>
      <c r="E60" s="70" t="s">
        <v>70</v>
      </c>
      <c r="F60" s="92" t="s">
        <v>71</v>
      </c>
      <c r="G60" s="68">
        <v>120000</v>
      </c>
      <c r="H60" s="67">
        <v>0.85499999999999998</v>
      </c>
      <c r="I60" s="67">
        <v>0.85499999999999998</v>
      </c>
      <c r="J60" s="68">
        <f>G60/H60</f>
        <v>140350.87719298247</v>
      </c>
      <c r="K60" s="93">
        <f>G60/H60/43560</f>
        <v>3.2220127913907821</v>
      </c>
      <c r="L60" s="92" t="s">
        <v>271</v>
      </c>
      <c r="M60" s="70" t="s">
        <v>272</v>
      </c>
      <c r="N60" s="70">
        <v>202</v>
      </c>
    </row>
    <row r="61" spans="1:46" s="71" customFormat="1" ht="25.5" x14ac:dyDescent="0.25">
      <c r="A61" s="62" t="s">
        <v>273</v>
      </c>
      <c r="B61" s="71" t="s">
        <v>274</v>
      </c>
      <c r="C61" s="100">
        <v>44182</v>
      </c>
      <c r="D61" s="101">
        <v>55000</v>
      </c>
      <c r="E61" s="70" t="s">
        <v>70</v>
      </c>
      <c r="F61" s="92" t="s">
        <v>71</v>
      </c>
      <c r="G61" s="101">
        <v>55000</v>
      </c>
      <c r="H61" s="67">
        <v>0.32900000000000001</v>
      </c>
      <c r="I61" s="67">
        <v>0.33</v>
      </c>
      <c r="J61" s="68">
        <v>14350</v>
      </c>
      <c r="K61" s="93">
        <v>3.83</v>
      </c>
      <c r="L61" s="92" t="s">
        <v>275</v>
      </c>
      <c r="M61" s="102">
        <v>202012290085859</v>
      </c>
      <c r="N61" s="70">
        <v>202</v>
      </c>
    </row>
    <row r="62" spans="1:46" s="61" customFormat="1" ht="13.5" thickBot="1" x14ac:dyDescent="0.25">
      <c r="A62" s="49" t="s">
        <v>276</v>
      </c>
      <c r="B62" s="49" t="s">
        <v>76</v>
      </c>
      <c r="C62" s="49">
        <v>44393</v>
      </c>
      <c r="D62" s="56">
        <v>39900</v>
      </c>
      <c r="E62" s="57" t="s">
        <v>70</v>
      </c>
      <c r="F62" s="58" t="s">
        <v>71</v>
      </c>
      <c r="G62" s="56">
        <v>39900</v>
      </c>
      <c r="H62" s="59">
        <v>0.17</v>
      </c>
      <c r="I62" s="59">
        <v>0.17</v>
      </c>
      <c r="J62" s="56">
        <f>G62/H62</f>
        <v>234705.88235294115</v>
      </c>
      <c r="K62" s="60">
        <f>G62/H62/43560</f>
        <v>5.3881056554853339</v>
      </c>
      <c r="L62" s="58" t="s">
        <v>266</v>
      </c>
      <c r="M62" s="57">
        <v>2021024849</v>
      </c>
      <c r="N62" s="57" t="s">
        <v>77</v>
      </c>
    </row>
    <row r="63" spans="1:46" ht="16.5" thickTop="1" thickBot="1" x14ac:dyDescent="0.3">
      <c r="A63" s="73"/>
      <c r="B63" s="73"/>
      <c r="C63" s="74" t="s">
        <v>213</v>
      </c>
      <c r="D63" s="75">
        <f>+SUM(D58:D62)</f>
        <v>571900</v>
      </c>
      <c r="E63" s="76"/>
      <c r="F63" s="77"/>
      <c r="G63" s="75">
        <f>+SUM(G58:G62)</f>
        <v>571900</v>
      </c>
      <c r="H63" s="78">
        <f>+SUM(H58:H62)</f>
        <v>4.3360000000000003</v>
      </c>
      <c r="I63" s="78"/>
      <c r="J63" s="79"/>
      <c r="K63" s="80"/>
      <c r="L63" s="77"/>
      <c r="M63" s="76"/>
      <c r="N63" s="76"/>
      <c r="O63" s="43"/>
    </row>
    <row r="64" spans="1:46" ht="15.75" thickBot="1" x14ac:dyDescent="0.3">
      <c r="A64" s="81"/>
      <c r="B64" s="81"/>
      <c r="C64" s="82"/>
      <c r="D64" s="83"/>
      <c r="E64" s="84"/>
      <c r="F64" s="89"/>
      <c r="G64" s="83"/>
      <c r="H64" s="86"/>
      <c r="I64" s="87" t="s">
        <v>214</v>
      </c>
      <c r="J64" s="83" t="s">
        <v>215</v>
      </c>
      <c r="K64" s="88">
        <f>G63/H63/43560</f>
        <v>3.0279099278596089</v>
      </c>
      <c r="L64" s="89"/>
      <c r="M64" s="84"/>
      <c r="N64" s="84"/>
    </row>
    <row r="65" spans="1:46" x14ac:dyDescent="0.25">
      <c r="A65" t="s">
        <v>277</v>
      </c>
    </row>
    <row r="66" spans="1:46" ht="11.25" customHeight="1" x14ac:dyDescent="0.25"/>
    <row r="67" spans="1:46" x14ac:dyDescent="0.25">
      <c r="A67" s="48" t="s">
        <v>278</v>
      </c>
      <c r="B67" s="43"/>
    </row>
    <row r="68" spans="1:46" x14ac:dyDescent="0.25">
      <c r="A68" s="49" t="s">
        <v>279</v>
      </c>
      <c r="B68" s="43"/>
    </row>
    <row r="69" spans="1:46" x14ac:dyDescent="0.25">
      <c r="A69" s="43" t="s">
        <v>280</v>
      </c>
      <c r="B69" s="50" t="s">
        <v>281</v>
      </c>
    </row>
    <row r="70" spans="1:46" s="12" customFormat="1" ht="30" x14ac:dyDescent="0.25">
      <c r="A70" s="9" t="s">
        <v>54</v>
      </c>
      <c r="B70" s="9" t="s">
        <v>55</v>
      </c>
      <c r="C70" s="51" t="s">
        <v>56</v>
      </c>
      <c r="D70" s="52" t="s">
        <v>57</v>
      </c>
      <c r="E70" s="9" t="s">
        <v>58</v>
      </c>
      <c r="F70" s="53" t="s">
        <v>59</v>
      </c>
      <c r="G70" s="52" t="s">
        <v>195</v>
      </c>
      <c r="H70" s="8" t="s">
        <v>196</v>
      </c>
      <c r="I70" s="8" t="s">
        <v>197</v>
      </c>
      <c r="J70" s="52" t="s">
        <v>198</v>
      </c>
      <c r="K70" s="54" t="s">
        <v>199</v>
      </c>
      <c r="L70" s="53" t="s">
        <v>67</v>
      </c>
      <c r="M70" s="9" t="s">
        <v>65</v>
      </c>
      <c r="N70" s="9" t="s">
        <v>68</v>
      </c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</row>
    <row r="71" spans="1:46" s="71" customFormat="1" ht="25.5" x14ac:dyDescent="0.25">
      <c r="A71" s="62" t="s">
        <v>282</v>
      </c>
      <c r="B71" s="71" t="s">
        <v>283</v>
      </c>
      <c r="C71" s="100">
        <v>44411</v>
      </c>
      <c r="D71" s="101">
        <v>265000</v>
      </c>
      <c r="E71" s="70" t="s">
        <v>70</v>
      </c>
      <c r="F71" s="92" t="s">
        <v>71</v>
      </c>
      <c r="G71" s="101">
        <v>265000</v>
      </c>
      <c r="H71" s="67">
        <v>0.76400000000000001</v>
      </c>
      <c r="I71" s="67">
        <v>0.76400000000000001</v>
      </c>
      <c r="J71" s="68">
        <v>33280</v>
      </c>
      <c r="K71" s="93">
        <v>7.96</v>
      </c>
      <c r="L71" s="92"/>
      <c r="M71" s="103" t="s">
        <v>284</v>
      </c>
      <c r="N71" s="70">
        <v>202</v>
      </c>
    </row>
    <row r="72" spans="1:46" s="71" customFormat="1" ht="26.25" thickBot="1" x14ac:dyDescent="0.3">
      <c r="A72" s="62" t="s">
        <v>285</v>
      </c>
      <c r="B72" s="71" t="s">
        <v>286</v>
      </c>
      <c r="C72" s="100">
        <v>44377</v>
      </c>
      <c r="D72" s="101">
        <v>165000</v>
      </c>
      <c r="E72" s="70" t="s">
        <v>70</v>
      </c>
      <c r="F72" s="92" t="s">
        <v>71</v>
      </c>
      <c r="G72" s="101">
        <v>165000</v>
      </c>
      <c r="H72" s="67">
        <v>0.44800000000000001</v>
      </c>
      <c r="I72" s="67">
        <v>0.44800000000000001</v>
      </c>
      <c r="J72" s="68">
        <v>19516</v>
      </c>
      <c r="K72" s="93">
        <v>8.4499999999999993</v>
      </c>
      <c r="L72" s="92"/>
      <c r="M72" s="102">
        <v>202107090060419</v>
      </c>
      <c r="N72" s="70">
        <v>201</v>
      </c>
    </row>
    <row r="73" spans="1:46" ht="16.5" thickTop="1" thickBot="1" x14ac:dyDescent="0.3">
      <c r="A73" s="73"/>
      <c r="B73" s="73"/>
      <c r="C73" s="74" t="s">
        <v>213</v>
      </c>
      <c r="D73" s="75">
        <f>+SUM(D71:D72)</f>
        <v>430000</v>
      </c>
      <c r="E73" s="76"/>
      <c r="F73" s="77"/>
      <c r="G73" s="75">
        <f>+SUM(G71:G72)</f>
        <v>430000</v>
      </c>
      <c r="H73" s="78">
        <f>+SUM(H71:H72)</f>
        <v>1.212</v>
      </c>
      <c r="I73" s="78"/>
      <c r="J73" s="79"/>
      <c r="K73" s="80"/>
      <c r="L73" s="77"/>
      <c r="M73" s="76"/>
      <c r="N73" s="76"/>
      <c r="O73" s="43"/>
    </row>
    <row r="74" spans="1:46" ht="15.75" thickBot="1" x14ac:dyDescent="0.3">
      <c r="A74" s="81"/>
      <c r="B74" s="81"/>
      <c r="C74" s="82"/>
      <c r="D74" s="83"/>
      <c r="E74" s="84"/>
      <c r="F74" s="89"/>
      <c r="G74" s="83"/>
      <c r="H74" s="86"/>
      <c r="I74" s="87" t="s">
        <v>214</v>
      </c>
      <c r="J74" s="83" t="s">
        <v>215</v>
      </c>
      <c r="K74" s="88">
        <f>AVERAGE(K71:K73)</f>
        <v>8.2050000000000001</v>
      </c>
      <c r="L74" s="89"/>
      <c r="M74" s="84"/>
      <c r="N74" s="84"/>
    </row>
    <row r="75" spans="1:46" ht="118.5" customHeight="1" x14ac:dyDescent="0.25">
      <c r="A75" s="104"/>
      <c r="B75" s="104"/>
      <c r="C75" s="105"/>
      <c r="D75" s="106"/>
      <c r="E75" s="107"/>
      <c r="F75" s="108"/>
      <c r="G75" s="106"/>
      <c r="H75" s="109"/>
      <c r="I75" s="110"/>
      <c r="J75" s="106"/>
      <c r="L75" s="108"/>
      <c r="M75" s="107"/>
      <c r="N75" s="107"/>
    </row>
    <row r="76" spans="1:46" ht="15.75" x14ac:dyDescent="0.25">
      <c r="A76" s="42" t="s">
        <v>189</v>
      </c>
    </row>
    <row r="77" spans="1:46" ht="15.75" x14ac:dyDescent="0.25">
      <c r="A77" s="42"/>
    </row>
    <row r="78" spans="1:46" s="111" customFormat="1" ht="15.75" x14ac:dyDescent="0.25">
      <c r="A78" s="42" t="s">
        <v>287</v>
      </c>
      <c r="C78" s="112"/>
      <c r="D78" s="113"/>
      <c r="E78" s="114"/>
      <c r="F78" s="115"/>
      <c r="G78" s="113"/>
      <c r="H78" s="116"/>
      <c r="I78" s="116"/>
      <c r="J78" s="113"/>
      <c r="K78" s="117"/>
      <c r="L78" s="115"/>
      <c r="M78" s="114"/>
      <c r="N78" s="114"/>
    </row>
    <row r="79" spans="1:46" x14ac:dyDescent="0.25">
      <c r="A79" s="61" t="s">
        <v>288</v>
      </c>
    </row>
    <row r="80" spans="1:46" ht="9.75" customHeight="1" x14ac:dyDescent="0.25">
      <c r="A80" s="61"/>
    </row>
    <row r="81" spans="1:46" x14ac:dyDescent="0.25">
      <c r="A81" s="48" t="s">
        <v>289</v>
      </c>
      <c r="B81" s="43"/>
    </row>
    <row r="82" spans="1:46" x14ac:dyDescent="0.25">
      <c r="A82" s="49" t="s">
        <v>290</v>
      </c>
      <c r="B82" s="43"/>
    </row>
    <row r="83" spans="1:46" x14ac:dyDescent="0.25">
      <c r="A83" s="43" t="s">
        <v>291</v>
      </c>
      <c r="B83" s="50" t="s">
        <v>292</v>
      </c>
    </row>
    <row r="84" spans="1:46" s="12" customFormat="1" ht="30" x14ac:dyDescent="0.25">
      <c r="A84" s="9" t="s">
        <v>54</v>
      </c>
      <c r="B84" s="9" t="s">
        <v>55</v>
      </c>
      <c r="C84" s="51" t="s">
        <v>56</v>
      </c>
      <c r="D84" s="52" t="s">
        <v>57</v>
      </c>
      <c r="E84" s="9" t="s">
        <v>58</v>
      </c>
      <c r="F84" s="53" t="s">
        <v>59</v>
      </c>
      <c r="G84" s="52" t="s">
        <v>195</v>
      </c>
      <c r="H84" s="8" t="s">
        <v>196</v>
      </c>
      <c r="I84" s="8" t="s">
        <v>197</v>
      </c>
      <c r="J84" s="52" t="s">
        <v>198</v>
      </c>
      <c r="K84" s="54" t="s">
        <v>199</v>
      </c>
      <c r="L84" s="53" t="s">
        <v>67</v>
      </c>
      <c r="M84" s="9" t="s">
        <v>65</v>
      </c>
      <c r="N84" s="9" t="s">
        <v>68</v>
      </c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</row>
    <row r="85" spans="1:46" s="71" customFormat="1" ht="25.5" x14ac:dyDescent="0.25">
      <c r="A85" s="62" t="s">
        <v>293</v>
      </c>
      <c r="B85" s="71" t="s">
        <v>294</v>
      </c>
      <c r="C85" s="100">
        <v>44034</v>
      </c>
      <c r="D85" s="101">
        <v>40000</v>
      </c>
      <c r="E85" s="70" t="s">
        <v>70</v>
      </c>
      <c r="F85" s="92" t="s">
        <v>71</v>
      </c>
      <c r="G85" s="101">
        <v>40000</v>
      </c>
      <c r="H85" s="67">
        <v>4.63</v>
      </c>
      <c r="I85" s="67">
        <v>4.62</v>
      </c>
      <c r="J85" s="68">
        <v>8639.308855291576</v>
      </c>
      <c r="K85" s="93">
        <f>G85/H85/43560</f>
        <v>0.19833124093874141</v>
      </c>
      <c r="L85" s="92" t="s">
        <v>295</v>
      </c>
      <c r="M85" s="102">
        <v>202007240050851</v>
      </c>
      <c r="N85" s="70">
        <v>302</v>
      </c>
    </row>
    <row r="86" spans="1:46" s="61" customFormat="1" ht="12.75" x14ac:dyDescent="0.2">
      <c r="A86" s="49" t="s">
        <v>0</v>
      </c>
      <c r="B86" s="49" t="s">
        <v>69</v>
      </c>
      <c r="C86" s="49">
        <v>44369</v>
      </c>
      <c r="D86" s="56">
        <v>317244</v>
      </c>
      <c r="E86" s="57" t="s">
        <v>70</v>
      </c>
      <c r="F86" s="58" t="s">
        <v>71</v>
      </c>
      <c r="G86" s="56">
        <v>317244</v>
      </c>
      <c r="H86" s="59">
        <v>26.831</v>
      </c>
      <c r="I86" s="59">
        <v>26.831</v>
      </c>
      <c r="J86" s="56">
        <f>G86/H86</f>
        <v>11823.785919272483</v>
      </c>
      <c r="K86" s="60">
        <f>G86/H86/43560</f>
        <v>0.27143677500625535</v>
      </c>
      <c r="L86" s="61" t="s">
        <v>296</v>
      </c>
      <c r="M86" s="57">
        <v>2021022483</v>
      </c>
      <c r="N86" s="57" t="s">
        <v>72</v>
      </c>
    </row>
    <row r="87" spans="1:46" s="61" customFormat="1" ht="13.5" thickBot="1" x14ac:dyDescent="0.25">
      <c r="A87" s="49" t="s">
        <v>51</v>
      </c>
      <c r="B87" s="49" t="s">
        <v>102</v>
      </c>
      <c r="C87" s="49">
        <v>44629</v>
      </c>
      <c r="D87" s="56">
        <v>521690</v>
      </c>
      <c r="E87" s="57" t="s">
        <v>70</v>
      </c>
      <c r="F87" s="58" t="s">
        <v>71</v>
      </c>
      <c r="G87" s="56">
        <v>521690</v>
      </c>
      <c r="H87" s="59">
        <v>40.198999999999998</v>
      </c>
      <c r="I87" s="59">
        <v>40.130000000000003</v>
      </c>
      <c r="J87" s="56">
        <f>G87/H87</f>
        <v>12977.686012089853</v>
      </c>
      <c r="K87" s="60">
        <f>G87/H87/43560</f>
        <v>0.29792667612694795</v>
      </c>
      <c r="L87" s="61" t="s">
        <v>296</v>
      </c>
      <c r="M87" s="57">
        <v>2022006625</v>
      </c>
      <c r="N87" s="57" t="s">
        <v>77</v>
      </c>
    </row>
    <row r="88" spans="1:46" ht="16.5" thickTop="1" thickBot="1" x14ac:dyDescent="0.3">
      <c r="A88" s="73"/>
      <c r="B88" s="73"/>
      <c r="C88" s="74" t="s">
        <v>213</v>
      </c>
      <c r="D88" s="75">
        <f>+SUM(D85:D87)</f>
        <v>878934</v>
      </c>
      <c r="E88" s="76"/>
      <c r="F88" s="77"/>
      <c r="G88" s="75">
        <f>+SUM(G85:G87)</f>
        <v>878934</v>
      </c>
      <c r="H88" s="78">
        <f>+SUM(H85:H87)</f>
        <v>71.66</v>
      </c>
      <c r="I88" s="78"/>
      <c r="J88" s="80"/>
      <c r="K88" s="118"/>
      <c r="L88" s="77"/>
      <c r="M88" s="76"/>
      <c r="N88" s="76"/>
    </row>
    <row r="89" spans="1:46" ht="15.75" thickBot="1" x14ac:dyDescent="0.3">
      <c r="A89" s="81"/>
      <c r="B89" s="81"/>
      <c r="C89" s="82"/>
      <c r="D89" s="83"/>
      <c r="E89" s="84"/>
      <c r="F89" s="85"/>
      <c r="G89" s="83"/>
      <c r="H89" s="119"/>
      <c r="I89" s="120" t="s">
        <v>297</v>
      </c>
      <c r="J89" s="121">
        <f>G88/H88</f>
        <v>12265.336310354453</v>
      </c>
      <c r="K89" s="122"/>
      <c r="L89" s="89"/>
      <c r="M89" s="84"/>
      <c r="N89" s="84"/>
    </row>
    <row r="90" spans="1:46" x14ac:dyDescent="0.25">
      <c r="A90" s="43" t="s">
        <v>260</v>
      </c>
      <c r="B90" s="104"/>
      <c r="C90" s="105"/>
      <c r="D90" s="106"/>
      <c r="E90" s="107"/>
      <c r="F90" s="123"/>
      <c r="G90" s="106"/>
      <c r="H90" s="124"/>
      <c r="I90" s="124"/>
      <c r="J90" s="106"/>
      <c r="K90" s="125"/>
      <c r="L90" s="108"/>
      <c r="M90" s="107"/>
      <c r="N90" s="107"/>
    </row>
    <row r="91" spans="1:46" s="61" customFormat="1" ht="12.75" x14ac:dyDescent="0.2">
      <c r="A91" s="49" t="s">
        <v>298</v>
      </c>
      <c r="B91" s="49" t="s">
        <v>299</v>
      </c>
      <c r="C91" s="49">
        <v>44055</v>
      </c>
      <c r="D91" s="56">
        <v>137000</v>
      </c>
      <c r="E91" s="57" t="s">
        <v>70</v>
      </c>
      <c r="F91" s="58" t="s">
        <v>71</v>
      </c>
      <c r="G91" s="56">
        <v>137000</v>
      </c>
      <c r="H91" s="59">
        <v>6.11</v>
      </c>
      <c r="I91" s="59">
        <v>6.89</v>
      </c>
      <c r="J91" s="56">
        <f>G91/H91</f>
        <v>22422.258592471357</v>
      </c>
      <c r="K91" s="60">
        <f>G91/H91/43560</f>
        <v>0.51474422847730383</v>
      </c>
      <c r="L91" s="58" t="s">
        <v>300</v>
      </c>
      <c r="M91" s="57">
        <v>2020020651</v>
      </c>
      <c r="N91" s="57" t="s">
        <v>77</v>
      </c>
    </row>
    <row r="92" spans="1:46" x14ac:dyDescent="0.25">
      <c r="A92" s="43"/>
      <c r="B92" s="43"/>
      <c r="H92" s="126"/>
      <c r="I92" s="126"/>
    </row>
    <row r="93" spans="1:46" x14ac:dyDescent="0.25">
      <c r="A93" s="48" t="s">
        <v>301</v>
      </c>
      <c r="B93" s="43"/>
    </row>
    <row r="94" spans="1:46" x14ac:dyDescent="0.25">
      <c r="A94" s="49" t="s">
        <v>302</v>
      </c>
      <c r="B94" s="43"/>
    </row>
    <row r="95" spans="1:46" x14ac:dyDescent="0.25">
      <c r="A95" s="43" t="s">
        <v>303</v>
      </c>
      <c r="B95" s="50" t="s">
        <v>292</v>
      </c>
    </row>
    <row r="96" spans="1:46" s="12" customFormat="1" ht="30" x14ac:dyDescent="0.25">
      <c r="A96" s="9" t="s">
        <v>54</v>
      </c>
      <c r="B96" s="9" t="s">
        <v>55</v>
      </c>
      <c r="C96" s="51" t="s">
        <v>56</v>
      </c>
      <c r="D96" s="52" t="s">
        <v>57</v>
      </c>
      <c r="E96" s="9" t="s">
        <v>58</v>
      </c>
      <c r="F96" s="53" t="s">
        <v>59</v>
      </c>
      <c r="G96" s="52" t="s">
        <v>195</v>
      </c>
      <c r="H96" s="8" t="s">
        <v>196</v>
      </c>
      <c r="I96" s="8" t="s">
        <v>197</v>
      </c>
      <c r="J96" s="52" t="s">
        <v>198</v>
      </c>
      <c r="K96" s="54" t="s">
        <v>199</v>
      </c>
      <c r="L96" s="53" t="s">
        <v>67</v>
      </c>
      <c r="M96" s="9" t="s">
        <v>65</v>
      </c>
      <c r="N96" s="9" t="s">
        <v>68</v>
      </c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</row>
    <row r="97" spans="1:46" s="61" customFormat="1" ht="12.75" x14ac:dyDescent="0.2">
      <c r="A97" s="49" t="s">
        <v>304</v>
      </c>
      <c r="B97" s="49" t="s">
        <v>305</v>
      </c>
      <c r="C97" s="49">
        <v>43923</v>
      </c>
      <c r="D97" s="56">
        <v>175400</v>
      </c>
      <c r="E97" s="57" t="s">
        <v>70</v>
      </c>
      <c r="F97" s="58" t="s">
        <v>71</v>
      </c>
      <c r="G97" s="56">
        <v>175400</v>
      </c>
      <c r="H97" s="59">
        <v>9.07</v>
      </c>
      <c r="I97" s="59">
        <v>9.1199999999999992</v>
      </c>
      <c r="J97" s="56">
        <f>G97/H97</f>
        <v>19338.478500551268</v>
      </c>
      <c r="K97" s="60">
        <f>G97/H97/43560</f>
        <v>0.44395037880053417</v>
      </c>
      <c r="L97" s="61" t="s">
        <v>306</v>
      </c>
      <c r="M97" s="57">
        <v>2020012222</v>
      </c>
      <c r="N97" s="57">
        <v>302</v>
      </c>
    </row>
    <row r="98" spans="1:46" s="61" customFormat="1" ht="12.75" x14ac:dyDescent="0.2">
      <c r="A98" s="49" t="s">
        <v>298</v>
      </c>
      <c r="B98" s="49" t="s">
        <v>299</v>
      </c>
      <c r="C98" s="49">
        <v>44055</v>
      </c>
      <c r="D98" s="56">
        <v>137000</v>
      </c>
      <c r="E98" s="57" t="s">
        <v>70</v>
      </c>
      <c r="F98" s="58" t="s">
        <v>71</v>
      </c>
      <c r="G98" s="56">
        <v>137000</v>
      </c>
      <c r="H98" s="59">
        <v>6.11</v>
      </c>
      <c r="I98" s="59">
        <v>6.89</v>
      </c>
      <c r="J98" s="56">
        <f>G98/H98</f>
        <v>22422.258592471357</v>
      </c>
      <c r="K98" s="60">
        <f>G98/H98/43560</f>
        <v>0.51474422847730383</v>
      </c>
      <c r="L98" s="61" t="s">
        <v>306</v>
      </c>
      <c r="M98" s="57">
        <v>2020020651</v>
      </c>
      <c r="N98" s="57" t="s">
        <v>77</v>
      </c>
    </row>
    <row r="99" spans="1:46" s="61" customFormat="1" ht="13.5" thickBot="1" x14ac:dyDescent="0.25">
      <c r="A99" s="136" t="s">
        <v>363</v>
      </c>
      <c r="B99" s="136" t="s">
        <v>307</v>
      </c>
      <c r="C99" s="136">
        <v>44569</v>
      </c>
      <c r="D99" s="56">
        <v>360000</v>
      </c>
      <c r="E99" s="57" t="s">
        <v>70</v>
      </c>
      <c r="F99" s="58" t="s">
        <v>71</v>
      </c>
      <c r="G99" s="56">
        <v>360000</v>
      </c>
      <c r="H99" s="59">
        <v>20</v>
      </c>
      <c r="I99" s="59">
        <v>20</v>
      </c>
      <c r="J99" s="56">
        <f>G99/H99</f>
        <v>18000</v>
      </c>
      <c r="K99" s="60">
        <f>G99/H99/43560</f>
        <v>0.41322314049586778</v>
      </c>
      <c r="L99" s="61" t="s">
        <v>306</v>
      </c>
      <c r="M99" s="57">
        <v>2022003514</v>
      </c>
      <c r="N99" s="57" t="s">
        <v>72</v>
      </c>
      <c r="P99" s="57"/>
    </row>
    <row r="100" spans="1:46" ht="16.5" thickTop="1" thickBot="1" x14ac:dyDescent="0.3">
      <c r="A100" s="73"/>
      <c r="B100" s="73"/>
      <c r="C100" s="74" t="s">
        <v>213</v>
      </c>
      <c r="D100" s="75">
        <f>+SUM(D97:D99)</f>
        <v>672400</v>
      </c>
      <c r="E100" s="76"/>
      <c r="F100" s="77"/>
      <c r="G100" s="75">
        <f>+SUM(G97:G99)</f>
        <v>672400</v>
      </c>
      <c r="H100" s="78">
        <f>+SUM(H97:H99)</f>
        <v>35.18</v>
      </c>
      <c r="I100" s="78"/>
      <c r="J100" s="80"/>
      <c r="K100" s="118"/>
      <c r="L100" s="77"/>
      <c r="M100" s="76"/>
      <c r="N100" s="76"/>
    </row>
    <row r="101" spans="1:46" ht="15.75" thickBot="1" x14ac:dyDescent="0.3">
      <c r="A101" s="137" t="s">
        <v>364</v>
      </c>
      <c r="B101" s="81"/>
      <c r="C101" s="82"/>
      <c r="D101" s="83"/>
      <c r="E101" s="84"/>
      <c r="F101" s="85"/>
      <c r="G101" s="83"/>
      <c r="H101" s="119"/>
      <c r="I101" s="120" t="s">
        <v>297</v>
      </c>
      <c r="J101" s="121">
        <f>G100/H100</f>
        <v>19113.132461625923</v>
      </c>
      <c r="K101" s="122"/>
      <c r="L101" s="89"/>
      <c r="M101" s="84"/>
      <c r="N101" s="84"/>
    </row>
    <row r="103" spans="1:46" x14ac:dyDescent="0.25">
      <c r="A103" s="48" t="s">
        <v>308</v>
      </c>
      <c r="B103" s="43"/>
    </row>
    <row r="104" spans="1:46" x14ac:dyDescent="0.25">
      <c r="A104" s="49" t="s">
        <v>309</v>
      </c>
      <c r="B104" s="43"/>
    </row>
    <row r="105" spans="1:46" x14ac:dyDescent="0.25">
      <c r="A105" s="43" t="s">
        <v>310</v>
      </c>
      <c r="B105" s="50" t="s">
        <v>292</v>
      </c>
    </row>
    <row r="106" spans="1:46" s="12" customFormat="1" ht="30" x14ac:dyDescent="0.25">
      <c r="A106" s="9" t="s">
        <v>54</v>
      </c>
      <c r="B106" s="9" t="s">
        <v>55</v>
      </c>
      <c r="C106" s="51" t="s">
        <v>56</v>
      </c>
      <c r="D106" s="52" t="s">
        <v>57</v>
      </c>
      <c r="E106" s="9" t="s">
        <v>58</v>
      </c>
      <c r="F106" s="53" t="s">
        <v>59</v>
      </c>
      <c r="G106" s="52" t="s">
        <v>195</v>
      </c>
      <c r="H106" s="8" t="s">
        <v>196</v>
      </c>
      <c r="I106" s="8" t="s">
        <v>197</v>
      </c>
      <c r="J106" s="52" t="s">
        <v>198</v>
      </c>
      <c r="K106" s="54" t="s">
        <v>199</v>
      </c>
      <c r="L106" s="53" t="s">
        <v>67</v>
      </c>
      <c r="M106" s="9" t="s">
        <v>65</v>
      </c>
      <c r="N106" s="9" t="s">
        <v>68</v>
      </c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</row>
    <row r="107" spans="1:46" s="71" customFormat="1" ht="25.5" x14ac:dyDescent="0.25">
      <c r="A107" s="62" t="s">
        <v>311</v>
      </c>
      <c r="B107" s="71" t="s">
        <v>312</v>
      </c>
      <c r="C107" s="91">
        <v>44539</v>
      </c>
      <c r="D107" s="68">
        <v>405000</v>
      </c>
      <c r="E107" s="66" t="s">
        <v>70</v>
      </c>
      <c r="F107" s="63" t="s">
        <v>71</v>
      </c>
      <c r="G107" s="101">
        <v>405000</v>
      </c>
      <c r="H107" s="67">
        <v>15.32</v>
      </c>
      <c r="I107" s="67">
        <f>10.42+6.6</f>
        <v>17.02</v>
      </c>
      <c r="J107" s="68">
        <v>26436</v>
      </c>
      <c r="K107" s="93">
        <v>0.61</v>
      </c>
      <c r="L107" s="92"/>
      <c r="M107" s="102">
        <v>202112290097052</v>
      </c>
      <c r="N107" s="70">
        <v>202</v>
      </c>
    </row>
    <row r="108" spans="1:46" s="71" customFormat="1" ht="25.5" x14ac:dyDescent="0.25">
      <c r="A108" s="62" t="s">
        <v>313</v>
      </c>
      <c r="B108" s="63" t="s">
        <v>314</v>
      </c>
      <c r="C108" s="64">
        <v>44708</v>
      </c>
      <c r="D108" s="65">
        <v>164000</v>
      </c>
      <c r="E108" s="66" t="s">
        <v>70</v>
      </c>
      <c r="F108" s="63" t="s">
        <v>71</v>
      </c>
      <c r="G108" s="65">
        <v>164000</v>
      </c>
      <c r="H108" s="67">
        <v>5.2960000000000003</v>
      </c>
      <c r="I108" s="67">
        <v>5.2960000000000003</v>
      </c>
      <c r="J108" s="65">
        <v>30966.767371601207</v>
      </c>
      <c r="K108" s="69">
        <v>0.71089915912766777</v>
      </c>
      <c r="L108" s="63" t="s">
        <v>204</v>
      </c>
      <c r="M108" s="66" t="s">
        <v>315</v>
      </c>
      <c r="N108" s="70">
        <v>202</v>
      </c>
    </row>
    <row r="109" spans="1:46" s="71" customFormat="1" ht="26.25" thickBot="1" x14ac:dyDescent="0.3">
      <c r="A109" s="62" t="s">
        <v>316</v>
      </c>
      <c r="B109" s="63" t="s">
        <v>317</v>
      </c>
      <c r="C109" s="64">
        <v>43941</v>
      </c>
      <c r="D109" s="65">
        <v>415000</v>
      </c>
      <c r="E109" s="66" t="s">
        <v>70</v>
      </c>
      <c r="F109" s="63" t="s">
        <v>71</v>
      </c>
      <c r="G109" s="65">
        <v>415000</v>
      </c>
      <c r="H109" s="67">
        <v>11.456</v>
      </c>
      <c r="I109" s="67">
        <v>11.456</v>
      </c>
      <c r="J109" s="65">
        <v>36225.558659217881</v>
      </c>
      <c r="K109" s="69">
        <v>0.83162439529884946</v>
      </c>
      <c r="L109" s="63" t="s">
        <v>204</v>
      </c>
      <c r="M109" s="66" t="s">
        <v>318</v>
      </c>
      <c r="N109" s="70">
        <v>302</v>
      </c>
    </row>
    <row r="110" spans="1:46" ht="16.5" thickTop="1" thickBot="1" x14ac:dyDescent="0.3">
      <c r="A110" s="73"/>
      <c r="B110" s="73"/>
      <c r="C110" s="74" t="s">
        <v>213</v>
      </c>
      <c r="D110" s="75">
        <f>+SUM(D107:D109)</f>
        <v>984000</v>
      </c>
      <c r="E110" s="76"/>
      <c r="F110" s="77"/>
      <c r="G110" s="75">
        <f>+SUM(G107:G109)</f>
        <v>984000</v>
      </c>
      <c r="H110" s="78">
        <f>+SUM(H107:H109)</f>
        <v>32.072000000000003</v>
      </c>
      <c r="I110" s="78"/>
      <c r="J110" s="80"/>
      <c r="K110" s="118"/>
      <c r="L110" s="77"/>
      <c r="M110" s="76"/>
      <c r="N110" s="76"/>
    </row>
    <row r="111" spans="1:46" ht="15.75" thickBot="1" x14ac:dyDescent="0.3">
      <c r="A111" s="81"/>
      <c r="B111" s="81"/>
      <c r="C111" s="82"/>
      <c r="D111" s="83"/>
      <c r="E111" s="84"/>
      <c r="F111" s="85"/>
      <c r="G111" s="83"/>
      <c r="H111" s="119"/>
      <c r="I111" s="120" t="s">
        <v>297</v>
      </c>
      <c r="J111" s="121">
        <f>G110/H110</f>
        <v>30680.967822399598</v>
      </c>
      <c r="K111" s="122"/>
      <c r="L111" s="89"/>
      <c r="M111" s="84"/>
      <c r="N111" s="84"/>
    </row>
    <row r="112" spans="1:46" x14ac:dyDescent="0.25">
      <c r="A112" s="127"/>
      <c r="B112" s="127"/>
      <c r="C112" s="128"/>
      <c r="D112" s="129"/>
      <c r="E112" s="130"/>
      <c r="F112" s="127"/>
      <c r="G112" s="129"/>
      <c r="H112" s="131"/>
      <c r="I112" s="131"/>
      <c r="J112" s="129"/>
      <c r="K112" s="132"/>
      <c r="L112" s="127"/>
      <c r="M112" s="127"/>
    </row>
    <row r="113" spans="1:13" x14ac:dyDescent="0.25">
      <c r="A113" s="127"/>
      <c r="B113" s="127"/>
      <c r="C113" s="128"/>
      <c r="D113" s="129"/>
      <c r="E113" s="130"/>
      <c r="F113" s="127"/>
      <c r="G113" s="129"/>
      <c r="H113" s="131"/>
      <c r="I113" s="131"/>
      <c r="J113" s="129"/>
      <c r="K113" s="132"/>
      <c r="L113" s="127"/>
      <c r="M113" s="127"/>
    </row>
    <row r="135" spans="2:2" x14ac:dyDescent="0.25">
      <c r="B13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2023 Original</vt:lpstr>
      <vt:lpstr>PRIOR YR COMPARISON</vt:lpstr>
      <vt:lpstr>2023 Final</vt:lpstr>
      <vt:lpstr>ACREAGE TABLES</vt:lpstr>
      <vt:lpstr>2022 Final</vt:lpstr>
      <vt:lpstr>'ACREAGE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Gooch</dc:creator>
  <cp:lastModifiedBy>David Cook</cp:lastModifiedBy>
  <cp:lastPrinted>2024-01-09T18:42:29Z</cp:lastPrinted>
  <dcterms:created xsi:type="dcterms:W3CDTF">2023-08-11T15:51:01Z</dcterms:created>
  <dcterms:modified xsi:type="dcterms:W3CDTF">2024-03-04T18:04:15Z</dcterms:modified>
</cp:coreProperties>
</file>